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45" yWindow="1545" windowWidth="12840" windowHeight="7275" tabRatio="803" firstSheet="2" activeTab="6"/>
  </bookViews>
  <sheets>
    <sheet name="Avg. chart" sheetId="1" r:id="rId1"/>
    <sheet name="Changes" sheetId="2" r:id="rId2"/>
    <sheet name="Attd. chart" sheetId="3" r:id="rId3"/>
    <sheet name="Sizes chart" sheetId="4" r:id="rId4"/>
    <sheet name="Rates" sheetId="5" r:id="rId5"/>
    <sheet name="Overall sizes" sheetId="6" r:id="rId6"/>
    <sheet name="Numbers" sheetId="7" r:id="rId7"/>
    <sheet name="Income" sheetId="8" r:id="rId8"/>
    <sheet name="Income chart" sheetId="9" r:id="rId9"/>
  </sheets>
  <definedNames>
    <definedName name="CRITERIA">'Numbers'!#REF!</definedName>
    <definedName name="DATABASE">'Numbers'!#REF!</definedName>
  </definedNames>
  <calcPr fullCalcOnLoad="1"/>
</workbook>
</file>

<file path=xl/sharedStrings.xml><?xml version="1.0" encoding="utf-8"?>
<sst xmlns="http://schemas.openxmlformats.org/spreadsheetml/2006/main" count="115" uniqueCount="49">
  <si>
    <t>Total memberships of all types</t>
  </si>
  <si>
    <t>(as of the end of the stated month)</t>
  </si>
  <si>
    <t>Mark L. Olson</t>
  </si>
  <si>
    <t>Avg</t>
  </si>
  <si>
    <t>N4</t>
  </si>
  <si>
    <t>Torcon</t>
  </si>
  <si>
    <t>Philly</t>
  </si>
  <si>
    <t>Baltimore</t>
  </si>
  <si>
    <t>Texas</t>
  </si>
  <si>
    <t>LA3</t>
  </si>
  <si>
    <t>Glasgow</t>
  </si>
  <si>
    <t>Winnipeg</t>
  </si>
  <si>
    <t>SF</t>
  </si>
  <si>
    <t>Magicon</t>
  </si>
  <si>
    <t>Chicon 5</t>
  </si>
  <si>
    <t>N3</t>
  </si>
  <si>
    <t>Deviations from average</t>
  </si>
  <si>
    <t>Rate</t>
  </si>
  <si>
    <t>Smooth</t>
  </si>
  <si>
    <t>Chicon</t>
  </si>
  <si>
    <t>LA</t>
  </si>
  <si>
    <t>TX</t>
  </si>
  <si>
    <t>Balt</t>
  </si>
  <si>
    <t>Tor</t>
  </si>
  <si>
    <t>Date</t>
  </si>
  <si>
    <t>(+ one-days)</t>
  </si>
  <si>
    <t>S-members</t>
  </si>
  <si>
    <t>Total attending memberships</t>
  </si>
  <si>
    <t>Raw data</t>
  </si>
  <si>
    <t>Month-by-month rate</t>
  </si>
  <si>
    <t>Monthly income</t>
  </si>
  <si>
    <t>Total income</t>
  </si>
  <si>
    <t>?N3</t>
  </si>
  <si>
    <t>?C5</t>
  </si>
  <si>
    <t>?magi</t>
  </si>
  <si>
    <t>?SF</t>
  </si>
  <si>
    <t>?Win</t>
  </si>
  <si>
    <t>?glas</t>
  </si>
  <si>
    <t>?LA</t>
  </si>
  <si>
    <t>?Texas</t>
  </si>
  <si>
    <t>?Balt</t>
  </si>
  <si>
    <t>?Philly</t>
  </si>
  <si>
    <t>?Magi</t>
  </si>
  <si>
    <t>?Glas</t>
  </si>
  <si>
    <t>Avg 89 to 97</t>
  </si>
  <si>
    <t>Avg 98 to 04</t>
  </si>
  <si>
    <t>delta Avg</t>
  </si>
  <si>
    <t>Avg 89 to 96</t>
  </si>
  <si>
    <t>Avg 97 to 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</si>
</sst>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_(* #,##0_);_(* \(#,##0\);_(* &quot;-&quot;??_);_(@_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5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5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1" fontId="9" fillId="0" borderId="8" xfId="0" applyNumberFormat="1" applyFont="1" applyBorder="1" applyAlignment="1">
      <alignment/>
    </xf>
    <xf numFmtId="1" fontId="9" fillId="0" borderId="9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17" fontId="9" fillId="0" borderId="7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7" fontId="9" fillId="0" borderId="2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7" fontId="9" fillId="0" borderId="15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7" fontId="9" fillId="0" borderId="0" xfId="0" applyNumberFormat="1" applyFont="1" applyAlignment="1">
      <alignment/>
    </xf>
    <xf numFmtId="0" fontId="10" fillId="0" borderId="0" xfId="0" applyFont="1" applyAlignment="1">
      <alignment/>
    </xf>
    <xf numFmtId="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167" fontId="9" fillId="0" borderId="0" xfId="0" applyNumberFormat="1" applyFont="1" applyAlignment="1">
      <alignment horizontal="centerContinuous"/>
    </xf>
    <xf numFmtId="1" fontId="8" fillId="0" borderId="0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8" fontId="11" fillId="0" borderId="0" xfId="15" applyNumberFormat="1" applyFont="1" applyAlignment="1">
      <alignment/>
    </xf>
    <xf numFmtId="1" fontId="9" fillId="0" borderId="18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9" fillId="0" borderId="24" xfId="0" applyFont="1" applyBorder="1" applyAlignment="1">
      <alignment/>
    </xf>
    <xf numFmtId="1" fontId="9" fillId="0" borderId="25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7" fontId="9" fillId="0" borderId="0" xfId="0" applyNumberFormat="1" applyFont="1" applyBorder="1" applyAlignment="1">
      <alignment/>
    </xf>
    <xf numFmtId="17" fontId="9" fillId="0" borderId="4" xfId="0" applyNumberFormat="1" applyFont="1" applyBorder="1" applyAlignment="1">
      <alignment/>
    </xf>
    <xf numFmtId="17" fontId="9" fillId="0" borderId="14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" fontId="9" fillId="0" borderId="28" xfId="0" applyNumberFormat="1" applyFont="1" applyBorder="1" applyAlignment="1">
      <alignment/>
    </xf>
    <xf numFmtId="1" fontId="9" fillId="0" borderId="29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168" fontId="9" fillId="0" borderId="29" xfId="15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1" fontId="9" fillId="0" borderId="32" xfId="0" applyNumberFormat="1" applyFont="1" applyBorder="1" applyAlignment="1">
      <alignment/>
    </xf>
    <xf numFmtId="1" fontId="9" fillId="0" borderId="33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1" fontId="9" fillId="0" borderId="36" xfId="0" applyNumberFormat="1" applyFont="1" applyBorder="1" applyAlignment="1">
      <alignment/>
    </xf>
    <xf numFmtId="1" fontId="11" fillId="0" borderId="0" xfId="15" applyNumberFormat="1" applyFont="1" applyAlignment="1">
      <alignment/>
    </xf>
    <xf numFmtId="1" fontId="9" fillId="0" borderId="1" xfId="15" applyNumberFormat="1" applyFont="1" applyBorder="1" applyAlignment="1">
      <alignment/>
    </xf>
    <xf numFmtId="1" fontId="9" fillId="0" borderId="5" xfId="15" applyNumberFormat="1" applyFont="1" applyBorder="1" applyAlignment="1">
      <alignment/>
    </xf>
    <xf numFmtId="1" fontId="9" fillId="0" borderId="13" xfId="15" applyNumberFormat="1" applyFont="1" applyBorder="1" applyAlignment="1">
      <alignment/>
    </xf>
    <xf numFmtId="168" fontId="11" fillId="0" borderId="26" xfId="15" applyNumberFormat="1" applyFont="1" applyBorder="1" applyAlignment="1">
      <alignment/>
    </xf>
    <xf numFmtId="168" fontId="9" fillId="0" borderId="30" xfId="15" applyNumberFormat="1" applyFont="1" applyBorder="1" applyAlignment="1">
      <alignment/>
    </xf>
    <xf numFmtId="168" fontId="11" fillId="0" borderId="29" xfId="15" applyNumberFormat="1" applyFont="1" applyBorder="1" applyAlignment="1">
      <alignment/>
    </xf>
    <xf numFmtId="168" fontId="9" fillId="0" borderId="26" xfId="15" applyNumberFormat="1" applyFont="1" applyBorder="1" applyAlignment="1">
      <alignment/>
    </xf>
    <xf numFmtId="168" fontId="11" fillId="0" borderId="30" xfId="15" applyNumberFormat="1" applyFont="1" applyBorder="1" applyAlignment="1">
      <alignment/>
    </xf>
    <xf numFmtId="168" fontId="9" fillId="0" borderId="1" xfId="15" applyNumberFormat="1" applyFont="1" applyBorder="1" applyAlignment="1">
      <alignment/>
    </xf>
    <xf numFmtId="168" fontId="11" fillId="0" borderId="5" xfId="15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3" xfId="0" applyFont="1" applyBorder="1" applyAlignment="1">
      <alignment/>
    </xf>
    <xf numFmtId="1" fontId="11" fillId="0" borderId="29" xfId="0" applyNumberFormat="1" applyFont="1" applyBorder="1" applyAlignment="1">
      <alignment/>
    </xf>
    <xf numFmtId="1" fontId="9" fillId="0" borderId="35" xfId="0" applyNumberFormat="1" applyFont="1" applyBorder="1" applyAlignment="1">
      <alignment/>
    </xf>
    <xf numFmtId="1" fontId="9" fillId="0" borderId="7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Log average membership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Numbers!$B$8:$B$9</c:f>
              <c:strCache>
                <c:ptCount val="1"/>
                <c:pt idx="0">
                  <c:v>Sep-92 Aug-92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val>
            <c:numRef>
              <c:f>Numbers!$B$10:$B$45</c:f>
              <c:numCache>
                <c:ptCount val="36"/>
                <c:pt idx="0">
                  <c:v>5165.545454545455</c:v>
                </c:pt>
                <c:pt idx="1">
                  <c:v>4686.018181818182</c:v>
                </c:pt>
                <c:pt idx="2">
                  <c:v>4472.8393939393945</c:v>
                </c:pt>
                <c:pt idx="3">
                  <c:v>4294.4745454545455</c:v>
                </c:pt>
                <c:pt idx="4">
                  <c:v>4121.474963636364</c:v>
                </c:pt>
                <c:pt idx="5">
                  <c:v>3914.8030303030305</c:v>
                </c:pt>
                <c:pt idx="6">
                  <c:v>3785.1641414141413</c:v>
                </c:pt>
                <c:pt idx="7">
                  <c:v>3621.818181818182</c:v>
                </c:pt>
                <c:pt idx="8">
                  <c:v>3477.9848484848485</c:v>
                </c:pt>
                <c:pt idx="9">
                  <c:v>3353.0138888888887</c:v>
                </c:pt>
                <c:pt idx="10">
                  <c:v>3280</c:v>
                </c:pt>
                <c:pt idx="11">
                  <c:v>2952.875</c:v>
                </c:pt>
                <c:pt idx="12">
                  <c:v>2899.5833333333335</c:v>
                </c:pt>
                <c:pt idx="13">
                  <c:v>2819.125</c:v>
                </c:pt>
                <c:pt idx="14">
                  <c:v>2754.715277777778</c:v>
                </c:pt>
                <c:pt idx="15">
                  <c:v>2707.527777777778</c:v>
                </c:pt>
                <c:pt idx="16">
                  <c:v>2668.006944444445</c:v>
                </c:pt>
                <c:pt idx="17">
                  <c:v>2635.9236111111113</c:v>
                </c:pt>
                <c:pt idx="18">
                  <c:v>2604.395833333333</c:v>
                </c:pt>
                <c:pt idx="19">
                  <c:v>2557.6180555555557</c:v>
                </c:pt>
                <c:pt idx="20">
                  <c:v>2504.4236111111113</c:v>
                </c:pt>
                <c:pt idx="21">
                  <c:v>2476.972222222222</c:v>
                </c:pt>
                <c:pt idx="22">
                  <c:v>2435.2708333333335</c:v>
                </c:pt>
                <c:pt idx="23">
                  <c:v>2324.944444444445</c:v>
                </c:pt>
                <c:pt idx="24">
                  <c:v>2262.9484126984125</c:v>
                </c:pt>
                <c:pt idx="25">
                  <c:v>2221.827380952381</c:v>
                </c:pt>
                <c:pt idx="26">
                  <c:v>2190.3244047619046</c:v>
                </c:pt>
                <c:pt idx="27">
                  <c:v>2157.154761904762</c:v>
                </c:pt>
                <c:pt idx="28">
                  <c:v>2101.797619047619</c:v>
                </c:pt>
                <c:pt idx="29">
                  <c:v>2049.1488095238096</c:v>
                </c:pt>
                <c:pt idx="30">
                  <c:v>1949.0833333333333</c:v>
                </c:pt>
                <c:pt idx="31">
                  <c:v>1893.0833333333333</c:v>
                </c:pt>
                <c:pt idx="32">
                  <c:v>1820.3055555555557</c:v>
                </c:pt>
                <c:pt idx="33">
                  <c:v>1772.111111111111</c:v>
                </c:pt>
                <c:pt idx="34">
                  <c:v>1750.909090909091</c:v>
                </c:pt>
                <c:pt idx="35">
                  <c:v>1670.7272727272727</c:v>
                </c:pt>
              </c:numCache>
            </c:numRef>
          </c:val>
          <c:smooth val="0"/>
        </c:ser>
        <c:marker val="1"/>
        <c:axId val="2506559"/>
        <c:axId val="22559032"/>
      </c:lineChart>
      <c:catAx>
        <c:axId val="25065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/>
            </a:pPr>
          </a:p>
        </c:txPr>
        <c:crossAx val="22559032"/>
        <c:crosses val="autoZero"/>
        <c:auto val="1"/>
        <c:lblOffset val="100"/>
        <c:tickLblSkip val="6"/>
        <c:noMultiLvlLbl val="0"/>
      </c:catAx>
      <c:valAx>
        <c:axId val="22559032"/>
        <c:scaling>
          <c:logBase val="10"/>
          <c:orientation val="minMax"/>
          <c:min val="1000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06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Average number of members of all kinds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845"/>
          <c:w val="0.98625"/>
          <c:h val="0.905"/>
        </c:manualLayout>
      </c:layout>
      <c:lineChart>
        <c:grouping val="standard"/>
        <c:varyColors val="0"/>
        <c:ser>
          <c:idx val="0"/>
          <c:order val="0"/>
          <c:tx>
            <c:v>Rate of receipt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Numbers!$B$8:$B$45</c:f>
              <c:numCache>
                <c:ptCount val="38"/>
                <c:pt idx="2">
                  <c:v>5165.545454545455</c:v>
                </c:pt>
                <c:pt idx="3">
                  <c:v>4686.018181818182</c:v>
                </c:pt>
                <c:pt idx="4">
                  <c:v>4472.8393939393945</c:v>
                </c:pt>
                <c:pt idx="5">
                  <c:v>4294.4745454545455</c:v>
                </c:pt>
                <c:pt idx="6">
                  <c:v>4121.474963636364</c:v>
                </c:pt>
                <c:pt idx="7">
                  <c:v>3914.8030303030305</c:v>
                </c:pt>
                <c:pt idx="8">
                  <c:v>3785.1641414141413</c:v>
                </c:pt>
                <c:pt idx="9">
                  <c:v>3621.818181818182</c:v>
                </c:pt>
                <c:pt idx="10">
                  <c:v>3477.9848484848485</c:v>
                </c:pt>
                <c:pt idx="11">
                  <c:v>3353.0138888888887</c:v>
                </c:pt>
                <c:pt idx="12">
                  <c:v>3280</c:v>
                </c:pt>
                <c:pt idx="13">
                  <c:v>2952.875</c:v>
                </c:pt>
                <c:pt idx="14">
                  <c:v>2899.5833333333335</c:v>
                </c:pt>
                <c:pt idx="15">
                  <c:v>2819.125</c:v>
                </c:pt>
                <c:pt idx="16">
                  <c:v>2754.715277777778</c:v>
                </c:pt>
                <c:pt idx="17">
                  <c:v>2707.527777777778</c:v>
                </c:pt>
                <c:pt idx="18">
                  <c:v>2668.006944444445</c:v>
                </c:pt>
                <c:pt idx="19">
                  <c:v>2635.9236111111113</c:v>
                </c:pt>
                <c:pt idx="20">
                  <c:v>2604.395833333333</c:v>
                </c:pt>
                <c:pt idx="21">
                  <c:v>2557.6180555555557</c:v>
                </c:pt>
                <c:pt idx="22">
                  <c:v>2504.4236111111113</c:v>
                </c:pt>
                <c:pt idx="23">
                  <c:v>2476.972222222222</c:v>
                </c:pt>
                <c:pt idx="24">
                  <c:v>2435.2708333333335</c:v>
                </c:pt>
                <c:pt idx="25">
                  <c:v>2324.944444444445</c:v>
                </c:pt>
                <c:pt idx="26">
                  <c:v>2262.9484126984125</c:v>
                </c:pt>
                <c:pt idx="27">
                  <c:v>2221.827380952381</c:v>
                </c:pt>
                <c:pt idx="28">
                  <c:v>2190.3244047619046</c:v>
                </c:pt>
                <c:pt idx="29">
                  <c:v>2157.154761904762</c:v>
                </c:pt>
                <c:pt idx="30">
                  <c:v>2101.797619047619</c:v>
                </c:pt>
                <c:pt idx="31">
                  <c:v>2049.1488095238096</c:v>
                </c:pt>
                <c:pt idx="32">
                  <c:v>1949.0833333333333</c:v>
                </c:pt>
                <c:pt idx="33">
                  <c:v>1893.0833333333333</c:v>
                </c:pt>
                <c:pt idx="34">
                  <c:v>1820.3055555555557</c:v>
                </c:pt>
                <c:pt idx="35">
                  <c:v>1772.111111111111</c:v>
                </c:pt>
                <c:pt idx="36">
                  <c:v>1750.909090909091</c:v>
                </c:pt>
                <c:pt idx="37">
                  <c:v>1670.7272727272727</c:v>
                </c:pt>
              </c:numCache>
            </c:numRef>
          </c:val>
          <c:smooth val="0"/>
        </c:ser>
        <c:marker val="1"/>
        <c:axId val="2567723"/>
        <c:axId val="23109508"/>
      </c:lineChart>
      <c:lineChart>
        <c:grouping val="standard"/>
        <c:varyColors val="0"/>
        <c:marker val="1"/>
        <c:axId val="6658981"/>
        <c:axId val="59930830"/>
      </c:lineChart>
      <c:catAx>
        <c:axId val="256772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3109508"/>
        <c:crosses val="autoZero"/>
        <c:auto val="0"/>
        <c:lblOffset val="100"/>
        <c:tickLblSkip val="6"/>
        <c:noMultiLvlLbl val="0"/>
      </c:catAx>
      <c:valAx>
        <c:axId val="2310950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567723"/>
        <c:crossesAt val="1"/>
        <c:crossBetween val="midCat"/>
        <c:dispUnits/>
      </c:valAx>
      <c:catAx>
        <c:axId val="6658981"/>
        <c:scaling>
          <c:orientation val="maxMin"/>
        </c:scaling>
        <c:axPos val="b"/>
        <c:delete val="1"/>
        <c:majorTickMark val="in"/>
        <c:minorTickMark val="none"/>
        <c:tickLblPos val="nextTo"/>
        <c:crossAx val="59930830"/>
        <c:crosses val="autoZero"/>
        <c:auto val="0"/>
        <c:lblOffset val="100"/>
        <c:noMultiLvlLbl val="0"/>
      </c:catAx>
      <c:valAx>
        <c:axId val="59930830"/>
        <c:scaling>
          <c:orientation val="minMax"/>
        </c:scaling>
        <c:axPos val="r"/>
        <c:delete val="1"/>
        <c:majorTickMark val="in"/>
        <c:minorTickMark val="none"/>
        <c:tickLblPos val="nextTo"/>
        <c:crossAx val="665898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Comparison of 1989-1997 vs 1998-2004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25"/>
          <c:w val="0.98625"/>
          <c:h val="0.905"/>
        </c:manualLayout>
      </c:layout>
      <c:lineChart>
        <c:grouping val="standard"/>
        <c:varyColors val="0"/>
        <c:ser>
          <c:idx val="11"/>
          <c:order val="0"/>
          <c:tx>
            <c:v>Avg89-96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Numbers!$AG$10:$AG$45</c:f>
              <c:numCache>
                <c:ptCount val="36"/>
                <c:pt idx="0">
                  <c:v>5440</c:v>
                </c:pt>
                <c:pt idx="1">
                  <c:v>5022.714285714285</c:v>
                </c:pt>
                <c:pt idx="2">
                  <c:v>4805.5</c:v>
                </c:pt>
                <c:pt idx="3">
                  <c:v>4649.517142857143</c:v>
                </c:pt>
                <c:pt idx="4">
                  <c:v>4468.6320857142855</c:v>
                </c:pt>
                <c:pt idx="5">
                  <c:v>4226.928571428572</c:v>
                </c:pt>
                <c:pt idx="6">
                  <c:v>4087.464285714286</c:v>
                </c:pt>
                <c:pt idx="7">
                  <c:v>3911.4285714285716</c:v>
                </c:pt>
                <c:pt idx="8">
                  <c:v>3743.214285714286</c:v>
                </c:pt>
                <c:pt idx="9">
                  <c:v>3609</c:v>
                </c:pt>
                <c:pt idx="10">
                  <c:v>3529.1428571428573</c:v>
                </c:pt>
                <c:pt idx="11">
                  <c:v>3111.8571428571427</c:v>
                </c:pt>
                <c:pt idx="12">
                  <c:v>3069</c:v>
                </c:pt>
                <c:pt idx="13">
                  <c:v>2954.214285714286</c:v>
                </c:pt>
                <c:pt idx="14">
                  <c:v>2881.4285714285716</c:v>
                </c:pt>
                <c:pt idx="15">
                  <c:v>2820.0238095238096</c:v>
                </c:pt>
                <c:pt idx="16">
                  <c:v>2773.333333333333</c:v>
                </c:pt>
                <c:pt idx="17">
                  <c:v>2743.3928571428573</c:v>
                </c:pt>
                <c:pt idx="18">
                  <c:v>2717.4047619047624</c:v>
                </c:pt>
                <c:pt idx="19">
                  <c:v>2656.7023809523807</c:v>
                </c:pt>
                <c:pt idx="20">
                  <c:v>2577.8571428571427</c:v>
                </c:pt>
                <c:pt idx="21">
                  <c:v>2545.1428571428573</c:v>
                </c:pt>
                <c:pt idx="22">
                  <c:v>2524.1428571428573</c:v>
                </c:pt>
                <c:pt idx="23">
                  <c:v>2381.8571428571427</c:v>
                </c:pt>
                <c:pt idx="24">
                  <c:v>2327.5663265306125</c:v>
                </c:pt>
                <c:pt idx="25">
                  <c:v>2283.418367346939</c:v>
                </c:pt>
                <c:pt idx="26">
                  <c:v>2240.127551020408</c:v>
                </c:pt>
                <c:pt idx="27">
                  <c:v>2193.122448979592</c:v>
                </c:pt>
                <c:pt idx="28">
                  <c:v>2126.795918367347</c:v>
                </c:pt>
                <c:pt idx="29">
                  <c:v>2088.612244897959</c:v>
                </c:pt>
                <c:pt idx="30">
                  <c:v>1973.4285714285713</c:v>
                </c:pt>
                <c:pt idx="31">
                  <c:v>1923.857142857143</c:v>
                </c:pt>
                <c:pt idx="32">
                  <c:v>1839</c:v>
                </c:pt>
                <c:pt idx="33">
                  <c:v>1793</c:v>
                </c:pt>
                <c:pt idx="34">
                  <c:v>1792.1666666666667</c:v>
                </c:pt>
                <c:pt idx="35">
                  <c:v>1659.3333333333333</c:v>
                </c:pt>
              </c:numCache>
            </c:numRef>
          </c:val>
          <c:smooth val="0"/>
        </c:ser>
        <c:ser>
          <c:idx val="8"/>
          <c:order val="1"/>
          <c:tx>
            <c:v>Avg97-01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Numbers!$AH$10:$AH$45</c:f>
              <c:numCache>
                <c:ptCount val="36"/>
                <c:pt idx="0">
                  <c:v>4818</c:v>
                </c:pt>
                <c:pt idx="1">
                  <c:v>4121.400000000001</c:v>
                </c:pt>
                <c:pt idx="2">
                  <c:v>3890.911111111111</c:v>
                </c:pt>
                <c:pt idx="3">
                  <c:v>3640.866666666667</c:v>
                </c:pt>
                <c:pt idx="4">
                  <c:v>3457.6</c:v>
                </c:pt>
                <c:pt idx="5">
                  <c:v>3293.444444444445</c:v>
                </c:pt>
                <c:pt idx="6">
                  <c:v>3192.1851851851848</c:v>
                </c:pt>
                <c:pt idx="7">
                  <c:v>3080.6666666666665</c:v>
                </c:pt>
                <c:pt idx="8">
                  <c:v>2973</c:v>
                </c:pt>
                <c:pt idx="9">
                  <c:v>2827.3333333333335</c:v>
                </c:pt>
                <c:pt idx="10">
                  <c:v>2719.6666666666665</c:v>
                </c:pt>
                <c:pt idx="11">
                  <c:v>2566</c:v>
                </c:pt>
                <c:pt idx="12">
                  <c:v>2504</c:v>
                </c:pt>
                <c:pt idx="13">
                  <c:v>2481.6666666666665</c:v>
                </c:pt>
                <c:pt idx="14">
                  <c:v>2426.194444444445</c:v>
                </c:pt>
                <c:pt idx="15">
                  <c:v>2395.722222222222</c:v>
                </c:pt>
                <c:pt idx="16">
                  <c:v>2360.9166666666665</c:v>
                </c:pt>
                <c:pt idx="17">
                  <c:v>2321.444444444445</c:v>
                </c:pt>
                <c:pt idx="18">
                  <c:v>2300.6388888888887</c:v>
                </c:pt>
                <c:pt idx="19">
                  <c:v>2276.8333333333335</c:v>
                </c:pt>
                <c:pt idx="20">
                  <c:v>2260.027777777778</c:v>
                </c:pt>
                <c:pt idx="21">
                  <c:v>2231.222222222222</c:v>
                </c:pt>
                <c:pt idx="22">
                  <c:v>2191.75</c:v>
                </c:pt>
                <c:pt idx="23">
                  <c:v>2034.611111111111</c:v>
                </c:pt>
                <c:pt idx="24">
                  <c:v>2002.4722222222224</c:v>
                </c:pt>
                <c:pt idx="25">
                  <c:v>1976.3333333333333</c:v>
                </c:pt>
                <c:pt idx="26">
                  <c:v>1955.6666666666667</c:v>
                </c:pt>
                <c:pt idx="27">
                  <c:v>1940</c:v>
                </c:pt>
                <c:pt idx="28">
                  <c:v>1878.3333333333333</c:v>
                </c:pt>
                <c:pt idx="29">
                  <c:v>1835.1666666666667</c:v>
                </c:pt>
                <c:pt idx="30">
                  <c:v>1775.6666666666667</c:v>
                </c:pt>
                <c:pt idx="31">
                  <c:v>1722.6666666666667</c:v>
                </c:pt>
                <c:pt idx="32">
                  <c:v>1660.5555555555557</c:v>
                </c:pt>
                <c:pt idx="33">
                  <c:v>1584.7777777777776</c:v>
                </c:pt>
                <c:pt idx="34">
                  <c:v>1539.3333333333333</c:v>
                </c:pt>
                <c:pt idx="35">
                  <c:v>1505.6666666666667</c:v>
                </c:pt>
              </c:numCache>
            </c:numRef>
          </c:val>
          <c:smooth val="0"/>
        </c:ser>
        <c:ser>
          <c:idx val="0"/>
          <c:order val="2"/>
          <c:tx>
            <c:v>dAvg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Numbers!$AI$10:$AI$45</c:f>
              <c:numCache>
                <c:ptCount val="36"/>
                <c:pt idx="0">
                  <c:v>622</c:v>
                </c:pt>
                <c:pt idx="1">
                  <c:v>901.3142857142848</c:v>
                </c:pt>
                <c:pt idx="2">
                  <c:v>914.588888888889</c:v>
                </c:pt>
                <c:pt idx="3">
                  <c:v>1008.6504761904762</c:v>
                </c:pt>
                <c:pt idx="4">
                  <c:v>1011.0320857142856</c:v>
                </c:pt>
                <c:pt idx="5">
                  <c:v>933.4841269841268</c:v>
                </c:pt>
                <c:pt idx="6">
                  <c:v>895.279100529101</c:v>
                </c:pt>
                <c:pt idx="7">
                  <c:v>830.761904761905</c:v>
                </c:pt>
                <c:pt idx="8">
                  <c:v>770.2142857142858</c:v>
                </c:pt>
                <c:pt idx="9">
                  <c:v>781.6666666666665</c:v>
                </c:pt>
                <c:pt idx="10">
                  <c:v>809.4761904761908</c:v>
                </c:pt>
                <c:pt idx="11">
                  <c:v>545.8571428571427</c:v>
                </c:pt>
                <c:pt idx="12">
                  <c:v>565</c:v>
                </c:pt>
                <c:pt idx="13">
                  <c:v>472.54761904761926</c:v>
                </c:pt>
                <c:pt idx="14">
                  <c:v>455.23412698412676</c:v>
                </c:pt>
                <c:pt idx="15">
                  <c:v>424.30158730158746</c:v>
                </c:pt>
                <c:pt idx="16">
                  <c:v>412.4166666666665</c:v>
                </c:pt>
                <c:pt idx="17">
                  <c:v>421.94841269841254</c:v>
                </c:pt>
                <c:pt idx="18">
                  <c:v>416.7658730158737</c:v>
                </c:pt>
                <c:pt idx="19">
                  <c:v>379.86904761904725</c:v>
                </c:pt>
                <c:pt idx="20">
                  <c:v>317.82936507936483</c:v>
                </c:pt>
                <c:pt idx="21">
                  <c:v>313.92063492063517</c:v>
                </c:pt>
                <c:pt idx="22">
                  <c:v>332.39285714285734</c:v>
                </c:pt>
                <c:pt idx="23">
                  <c:v>347.2460317460316</c:v>
                </c:pt>
                <c:pt idx="24">
                  <c:v>325.0941043083901</c:v>
                </c:pt>
                <c:pt idx="25">
                  <c:v>307.08503401360554</c:v>
                </c:pt>
                <c:pt idx="26">
                  <c:v>284.46088435374145</c:v>
                </c:pt>
                <c:pt idx="27">
                  <c:v>253.1224489795918</c:v>
                </c:pt>
                <c:pt idx="28">
                  <c:v>248.46258503401373</c:v>
                </c:pt>
                <c:pt idx="29">
                  <c:v>253.4455782312923</c:v>
                </c:pt>
                <c:pt idx="30">
                  <c:v>197.7619047619046</c:v>
                </c:pt>
                <c:pt idx="31">
                  <c:v>201.19047619047615</c:v>
                </c:pt>
                <c:pt idx="32">
                  <c:v>178.44444444444434</c:v>
                </c:pt>
                <c:pt idx="33">
                  <c:v>208.2222222222224</c:v>
                </c:pt>
                <c:pt idx="34">
                  <c:v>252.83333333333348</c:v>
                </c:pt>
                <c:pt idx="35">
                  <c:v>153.66666666666652</c:v>
                </c:pt>
              </c:numCache>
            </c:numRef>
          </c:val>
          <c:smooth val="0"/>
        </c:ser>
        <c:marker val="1"/>
        <c:axId val="1704697"/>
        <c:axId val="15342274"/>
      </c:lineChart>
      <c:lineChart>
        <c:grouping val="standard"/>
        <c:varyColors val="0"/>
        <c:ser>
          <c:idx val="10"/>
          <c:order val="3"/>
          <c:tx>
            <c:v>Att89-96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Numbers!$AG$59:$AG$94</c:f>
              <c:numCache>
                <c:ptCount val="36"/>
                <c:pt idx="0">
                  <c:v>4839.285714285715</c:v>
                </c:pt>
                <c:pt idx="1">
                  <c:v>4422</c:v>
                </c:pt>
                <c:pt idx="2">
                  <c:v>4204.785714285715</c:v>
                </c:pt>
                <c:pt idx="3">
                  <c:v>4048.802857142857</c:v>
                </c:pt>
                <c:pt idx="4">
                  <c:v>3867.9177999999997</c:v>
                </c:pt>
                <c:pt idx="5">
                  <c:v>3626.214285714286</c:v>
                </c:pt>
                <c:pt idx="6">
                  <c:v>3486.75</c:v>
                </c:pt>
                <c:pt idx="7">
                  <c:v>3310.714285714286</c:v>
                </c:pt>
                <c:pt idx="8">
                  <c:v>3142.5</c:v>
                </c:pt>
                <c:pt idx="9">
                  <c:v>3008.285714285714</c:v>
                </c:pt>
                <c:pt idx="10">
                  <c:v>2928.4285714285716</c:v>
                </c:pt>
                <c:pt idx="11">
                  <c:v>2511.1428571428573</c:v>
                </c:pt>
                <c:pt idx="12">
                  <c:v>2468.285714285714</c:v>
                </c:pt>
                <c:pt idx="13">
                  <c:v>2353.5</c:v>
                </c:pt>
                <c:pt idx="14">
                  <c:v>2280.714285714286</c:v>
                </c:pt>
                <c:pt idx="15">
                  <c:v>2219.309523809524</c:v>
                </c:pt>
                <c:pt idx="16">
                  <c:v>2172.6190476190473</c:v>
                </c:pt>
                <c:pt idx="17">
                  <c:v>2142.6785714285716</c:v>
                </c:pt>
                <c:pt idx="18">
                  <c:v>2116.690476190476</c:v>
                </c:pt>
                <c:pt idx="19">
                  <c:v>2055.988095238095</c:v>
                </c:pt>
                <c:pt idx="20">
                  <c:v>1977.142857142857</c:v>
                </c:pt>
                <c:pt idx="21">
                  <c:v>1944.4285714285713</c:v>
                </c:pt>
                <c:pt idx="22">
                  <c:v>1923.4285714285713</c:v>
                </c:pt>
                <c:pt idx="23">
                  <c:v>1781.142857142857</c:v>
                </c:pt>
                <c:pt idx="24">
                  <c:v>1726.8520408163265</c:v>
                </c:pt>
                <c:pt idx="25">
                  <c:v>1682.7040816326532</c:v>
                </c:pt>
                <c:pt idx="26">
                  <c:v>1639.4132653061224</c:v>
                </c:pt>
                <c:pt idx="27">
                  <c:v>1592.4081632653063</c:v>
                </c:pt>
                <c:pt idx="28">
                  <c:v>1526.081632653061</c:v>
                </c:pt>
                <c:pt idx="29">
                  <c:v>1487.8979591836735</c:v>
                </c:pt>
                <c:pt idx="30">
                  <c:v>1372.7142857142858</c:v>
                </c:pt>
                <c:pt idx="31">
                  <c:v>1323.142857142857</c:v>
                </c:pt>
                <c:pt idx="32">
                  <c:v>1238.2857142857142</c:v>
                </c:pt>
                <c:pt idx="33">
                  <c:v>1192.2857142857142</c:v>
                </c:pt>
                <c:pt idx="34">
                  <c:v>1152.1666666666667</c:v>
                </c:pt>
                <c:pt idx="35">
                  <c:v>1019.3333333333334</c:v>
                </c:pt>
              </c:numCache>
            </c:numRef>
          </c:val>
          <c:smooth val="0"/>
        </c:ser>
        <c:ser>
          <c:idx val="3"/>
          <c:order val="4"/>
          <c:tx>
            <c:v>Att97-01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Numbers!$AH$59:$AH$94</c:f>
              <c:numCache>
                <c:ptCount val="36"/>
                <c:pt idx="0">
                  <c:v>4056.3333333333335</c:v>
                </c:pt>
                <c:pt idx="1">
                  <c:v>3359.7333333333336</c:v>
                </c:pt>
                <c:pt idx="2">
                  <c:v>3129.2444444444445</c:v>
                </c:pt>
                <c:pt idx="3">
                  <c:v>2879.2000000000003</c:v>
                </c:pt>
                <c:pt idx="4">
                  <c:v>2695.9333333333334</c:v>
                </c:pt>
                <c:pt idx="5">
                  <c:v>2531.777777777778</c:v>
                </c:pt>
                <c:pt idx="6">
                  <c:v>2430.5185185185187</c:v>
                </c:pt>
                <c:pt idx="7">
                  <c:v>2319</c:v>
                </c:pt>
                <c:pt idx="8">
                  <c:v>2211.3333333333335</c:v>
                </c:pt>
                <c:pt idx="9">
                  <c:v>2065.6666666666665</c:v>
                </c:pt>
                <c:pt idx="10">
                  <c:v>1958</c:v>
                </c:pt>
                <c:pt idx="11">
                  <c:v>1804.3333333333333</c:v>
                </c:pt>
                <c:pt idx="12">
                  <c:v>1742.3333333333333</c:v>
                </c:pt>
                <c:pt idx="13">
                  <c:v>1720</c:v>
                </c:pt>
                <c:pt idx="14">
                  <c:v>1664.527777777778</c:v>
                </c:pt>
                <c:pt idx="15">
                  <c:v>1634.0555555555554</c:v>
                </c:pt>
                <c:pt idx="16">
                  <c:v>1599.25</c:v>
                </c:pt>
                <c:pt idx="17">
                  <c:v>1559.777777777778</c:v>
                </c:pt>
                <c:pt idx="18">
                  <c:v>1538.972222222222</c:v>
                </c:pt>
                <c:pt idx="19">
                  <c:v>1515.1666666666667</c:v>
                </c:pt>
                <c:pt idx="20">
                  <c:v>1498.361111111111</c:v>
                </c:pt>
                <c:pt idx="21">
                  <c:v>1469.5555555555557</c:v>
                </c:pt>
                <c:pt idx="22">
                  <c:v>1430.0833333333333</c:v>
                </c:pt>
                <c:pt idx="23">
                  <c:v>1272.9444444444443</c:v>
                </c:pt>
                <c:pt idx="24">
                  <c:v>1240.8055555555557</c:v>
                </c:pt>
                <c:pt idx="25">
                  <c:v>1214.6666666666667</c:v>
                </c:pt>
                <c:pt idx="26">
                  <c:v>1194</c:v>
                </c:pt>
                <c:pt idx="27">
                  <c:v>1178.3333333333333</c:v>
                </c:pt>
                <c:pt idx="28">
                  <c:v>1116.6666666666667</c:v>
                </c:pt>
                <c:pt idx="29">
                  <c:v>1073.5</c:v>
                </c:pt>
                <c:pt idx="30">
                  <c:v>1014</c:v>
                </c:pt>
                <c:pt idx="31">
                  <c:v>961</c:v>
                </c:pt>
                <c:pt idx="32">
                  <c:v>898.888888888889</c:v>
                </c:pt>
                <c:pt idx="33">
                  <c:v>823.111111111111</c:v>
                </c:pt>
                <c:pt idx="34">
                  <c:v>777.6666666666666</c:v>
                </c:pt>
                <c:pt idx="35">
                  <c:v>744</c:v>
                </c:pt>
              </c:numCache>
            </c:numRef>
          </c:val>
          <c:smooth val="0"/>
        </c:ser>
        <c:ser>
          <c:idx val="1"/>
          <c:order val="5"/>
          <c:tx>
            <c:v>dAttend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Numbers!$AI$59:$AI$94</c:f>
              <c:numCache>
                <c:ptCount val="36"/>
                <c:pt idx="0">
                  <c:v>782.9523809523812</c:v>
                </c:pt>
                <c:pt idx="1">
                  <c:v>1062.2666666666664</c:v>
                </c:pt>
                <c:pt idx="2">
                  <c:v>1075.5412698412702</c:v>
                </c:pt>
                <c:pt idx="3">
                  <c:v>1169.602857142857</c:v>
                </c:pt>
                <c:pt idx="4">
                  <c:v>1171.9844666666663</c:v>
                </c:pt>
                <c:pt idx="5">
                  <c:v>1094.436507936508</c:v>
                </c:pt>
                <c:pt idx="6">
                  <c:v>1056.2314814814813</c:v>
                </c:pt>
                <c:pt idx="7">
                  <c:v>991.7142857142858</c:v>
                </c:pt>
                <c:pt idx="8">
                  <c:v>931.1666666666665</c:v>
                </c:pt>
                <c:pt idx="9">
                  <c:v>942.6190476190477</c:v>
                </c:pt>
                <c:pt idx="10">
                  <c:v>970.4285714285716</c:v>
                </c:pt>
                <c:pt idx="11">
                  <c:v>706.8095238095241</c:v>
                </c:pt>
                <c:pt idx="12">
                  <c:v>725.952380952381</c:v>
                </c:pt>
                <c:pt idx="13">
                  <c:v>633.5</c:v>
                </c:pt>
                <c:pt idx="14">
                  <c:v>616.1865079365077</c:v>
                </c:pt>
                <c:pt idx="15">
                  <c:v>585.2539682539684</c:v>
                </c:pt>
                <c:pt idx="16">
                  <c:v>573.3690476190473</c:v>
                </c:pt>
                <c:pt idx="17">
                  <c:v>582.9007936507935</c:v>
                </c:pt>
                <c:pt idx="18">
                  <c:v>577.7182539682542</c:v>
                </c:pt>
                <c:pt idx="19">
                  <c:v>540.8214285714282</c:v>
                </c:pt>
                <c:pt idx="20">
                  <c:v>478.781746031746</c:v>
                </c:pt>
                <c:pt idx="21">
                  <c:v>474.8730158730157</c:v>
                </c:pt>
                <c:pt idx="22">
                  <c:v>493.3452380952381</c:v>
                </c:pt>
                <c:pt idx="23">
                  <c:v>508.19841269841277</c:v>
                </c:pt>
                <c:pt idx="24">
                  <c:v>486.04648526077085</c:v>
                </c:pt>
                <c:pt idx="25">
                  <c:v>468.0374149659865</c:v>
                </c:pt>
                <c:pt idx="26">
                  <c:v>445.4132653061224</c:v>
                </c:pt>
                <c:pt idx="27">
                  <c:v>414.074829931973</c:v>
                </c:pt>
                <c:pt idx="28">
                  <c:v>409.41496598639424</c:v>
                </c:pt>
                <c:pt idx="29">
                  <c:v>414.3979591836735</c:v>
                </c:pt>
                <c:pt idx="30">
                  <c:v>358.7142857142858</c:v>
                </c:pt>
                <c:pt idx="31">
                  <c:v>362.1428571428571</c:v>
                </c:pt>
                <c:pt idx="32">
                  <c:v>339.3968253968252</c:v>
                </c:pt>
                <c:pt idx="33">
                  <c:v>369.17460317460325</c:v>
                </c:pt>
                <c:pt idx="34">
                  <c:v>374.5000000000001</c:v>
                </c:pt>
                <c:pt idx="35">
                  <c:v>275.33333333333337</c:v>
                </c:pt>
              </c:numCache>
            </c:numRef>
          </c:val>
          <c:smooth val="0"/>
        </c:ser>
        <c:marker val="1"/>
        <c:axId val="3862739"/>
        <c:axId val="34764652"/>
      </c:lineChart>
      <c:catAx>
        <c:axId val="1704697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5342274"/>
        <c:crosses val="autoZero"/>
        <c:auto val="0"/>
        <c:lblOffset val="100"/>
        <c:tickLblSkip val="6"/>
        <c:noMultiLvlLbl val="0"/>
      </c:catAx>
      <c:valAx>
        <c:axId val="1534227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1704697"/>
        <c:crossesAt val="1"/>
        <c:crossBetween val="midCat"/>
        <c:dispUnits/>
      </c:valAx>
      <c:catAx>
        <c:axId val="3862739"/>
        <c:scaling>
          <c:orientation val="maxMin"/>
        </c:scaling>
        <c:axPos val="b"/>
        <c:delete val="1"/>
        <c:majorTickMark val="in"/>
        <c:minorTickMark val="none"/>
        <c:tickLblPos val="nextTo"/>
        <c:crossAx val="34764652"/>
        <c:crosses val="autoZero"/>
        <c:auto val="0"/>
        <c:lblOffset val="100"/>
        <c:noMultiLvlLbl val="0"/>
      </c:catAx>
      <c:valAx>
        <c:axId val="34764652"/>
        <c:scaling>
          <c:orientation val="minMax"/>
        </c:scaling>
        <c:axPos val="r"/>
        <c:delete val="1"/>
        <c:majorTickMark val="in"/>
        <c:minorTickMark val="none"/>
        <c:tickLblPos val="nextTo"/>
        <c:crossAx val="38627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055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Attending members as a function of months before Worldcon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25"/>
          <c:w val="0.98625"/>
          <c:h val="0.905"/>
        </c:manualLayout>
      </c:layout>
      <c:lineChart>
        <c:grouping val="standard"/>
        <c:varyColors val="0"/>
        <c:ser>
          <c:idx val="0"/>
          <c:order val="0"/>
          <c:tx>
            <c:v>N3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Numbers!$R$59:$R$94</c:f>
              <c:numCache>
                <c:ptCount val="36"/>
                <c:pt idx="0">
                  <c:v>1364.272727272727</c:v>
                </c:pt>
                <c:pt idx="1">
                  <c:v>1152.8000000000002</c:v>
                </c:pt>
                <c:pt idx="2">
                  <c:v>1129.2305555555554</c:v>
                </c:pt>
                <c:pt idx="3">
                  <c:v>1077.69</c:v>
                </c:pt>
                <c:pt idx="4">
                  <c:v>1101.8146166666666</c:v>
                </c:pt>
                <c:pt idx="5">
                  <c:v>680.5972222222222</c:v>
                </c:pt>
                <c:pt idx="6">
                  <c:v>537.849537037037</c:v>
                </c:pt>
                <c:pt idx="7">
                  <c:v>455.75</c:v>
                </c:pt>
                <c:pt idx="8">
                  <c:v>506.625</c:v>
                </c:pt>
                <c:pt idx="9">
                  <c:v>551.0833333333335</c:v>
                </c:pt>
                <c:pt idx="10">
                  <c:v>505.5</c:v>
                </c:pt>
                <c:pt idx="11">
                  <c:v>188.75</c:v>
                </c:pt>
                <c:pt idx="12">
                  <c:v>181.16666666666652</c:v>
                </c:pt>
                <c:pt idx="13">
                  <c:v>140.29166666666652</c:v>
                </c:pt>
                <c:pt idx="14">
                  <c:v>174.78472222222217</c:v>
                </c:pt>
                <c:pt idx="15">
                  <c:v>192.72222222222217</c:v>
                </c:pt>
                <c:pt idx="16">
                  <c:v>212.0763888888889</c:v>
                </c:pt>
                <c:pt idx="17">
                  <c:v>223.99305555555543</c:v>
                </c:pt>
                <c:pt idx="18">
                  <c:v>235.9375</c:v>
                </c:pt>
                <c:pt idx="19">
                  <c:v>199.09027777777806</c:v>
                </c:pt>
                <c:pt idx="20">
                  <c:v>234.90972222222194</c:v>
                </c:pt>
                <c:pt idx="21">
                  <c:v>244.02777777777806</c:v>
                </c:pt>
                <c:pt idx="22">
                  <c:v>258.3125</c:v>
                </c:pt>
                <c:pt idx="23">
                  <c:v>333.68055555555566</c:v>
                </c:pt>
                <c:pt idx="24">
                  <c:v>299.55158730158723</c:v>
                </c:pt>
                <c:pt idx="25">
                  <c:v>331.67261904761904</c:v>
                </c:pt>
                <c:pt idx="26">
                  <c:v>353.00892857142867</c:v>
                </c:pt>
                <c:pt idx="27">
                  <c:v>376.92857142857133</c:v>
                </c:pt>
                <c:pt idx="28">
                  <c:v>433.28571428571445</c:v>
                </c:pt>
                <c:pt idx="29">
                  <c:v>478.18452380952385</c:v>
                </c:pt>
                <c:pt idx="30">
                  <c:v>49.41666666666674</c:v>
                </c:pt>
                <c:pt idx="31">
                  <c:v>31.666666666666742</c:v>
                </c:pt>
                <c:pt idx="32">
                  <c:v>61.5277777777776</c:v>
                </c:pt>
                <c:pt idx="33">
                  <c:v>70.63888888888891</c:v>
                </c:pt>
                <c:pt idx="34">
                  <c:v>72.18181818181824</c:v>
                </c:pt>
                <c:pt idx="35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v>Magi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Numbers!$T$59:$T$94</c:f>
              <c:numCache>
                <c:ptCount val="36"/>
                <c:pt idx="0">
                  <c:v>390.272727272727</c:v>
                </c:pt>
                <c:pt idx="1">
                  <c:v>542.8000000000002</c:v>
                </c:pt>
                <c:pt idx="2">
                  <c:v>576.2305555555554</c:v>
                </c:pt>
                <c:pt idx="3">
                  <c:v>708.69</c:v>
                </c:pt>
                <c:pt idx="4">
                  <c:v>802.8146166666666</c:v>
                </c:pt>
                <c:pt idx="5">
                  <c:v>566.5972222222222</c:v>
                </c:pt>
                <c:pt idx="6">
                  <c:v>566.849537037037</c:v>
                </c:pt>
                <c:pt idx="7">
                  <c:v>602.75</c:v>
                </c:pt>
                <c:pt idx="8">
                  <c:v>650.625</c:v>
                </c:pt>
                <c:pt idx="9">
                  <c:v>730.0833333333335</c:v>
                </c:pt>
                <c:pt idx="10">
                  <c:v>744.5</c:v>
                </c:pt>
                <c:pt idx="11">
                  <c:v>439.75</c:v>
                </c:pt>
                <c:pt idx="12">
                  <c:v>467.1666666666665</c:v>
                </c:pt>
                <c:pt idx="13">
                  <c:v>501.7916666666665</c:v>
                </c:pt>
                <c:pt idx="14">
                  <c:v>521.7847222222222</c:v>
                </c:pt>
                <c:pt idx="15">
                  <c:v>467.2222222222222</c:v>
                </c:pt>
                <c:pt idx="16">
                  <c:v>404.0763888888889</c:v>
                </c:pt>
                <c:pt idx="17">
                  <c:v>402.74305555555543</c:v>
                </c:pt>
                <c:pt idx="18">
                  <c:v>401.4375</c:v>
                </c:pt>
                <c:pt idx="19">
                  <c:v>411.34027777777806</c:v>
                </c:pt>
                <c:pt idx="20">
                  <c:v>433.90972222222194</c:v>
                </c:pt>
                <c:pt idx="21">
                  <c:v>471.02777777777806</c:v>
                </c:pt>
                <c:pt idx="22">
                  <c:v>503.3125</c:v>
                </c:pt>
                <c:pt idx="23">
                  <c:v>442.68055555555566</c:v>
                </c:pt>
                <c:pt idx="24">
                  <c:v>397.55158730158723</c:v>
                </c:pt>
                <c:pt idx="25">
                  <c:v>351.67261904761904</c:v>
                </c:pt>
                <c:pt idx="26">
                  <c:v>295.00892857142867</c:v>
                </c:pt>
                <c:pt idx="27">
                  <c:v>240.92857142857133</c:v>
                </c:pt>
                <c:pt idx="28">
                  <c:v>209.28571428571445</c:v>
                </c:pt>
                <c:pt idx="29">
                  <c:v>186.18452380952385</c:v>
                </c:pt>
                <c:pt idx="30">
                  <c:v>128.41666666666674</c:v>
                </c:pt>
                <c:pt idx="31">
                  <c:v>147.66666666666674</c:v>
                </c:pt>
                <c:pt idx="32">
                  <c:v>188.5277777777776</c:v>
                </c:pt>
                <c:pt idx="33">
                  <c:v>203.6388888888889</c:v>
                </c:pt>
                <c:pt idx="34">
                  <c:v>221.18181818181824</c:v>
                </c:pt>
                <c:pt idx="35">
                  <c:v>276</c:v>
                </c:pt>
              </c:numCache>
            </c:numRef>
          </c:val>
          <c:smooth val="0"/>
        </c:ser>
        <c:ser>
          <c:idx val="5"/>
          <c:order val="2"/>
          <c:tx>
            <c:v>SF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Numbers!$U$59:$U$94</c:f>
              <c:numCache>
                <c:ptCount val="36"/>
                <c:pt idx="0">
                  <c:v>1061.272727272727</c:v>
                </c:pt>
                <c:pt idx="1">
                  <c:v>1149.8000000000002</c:v>
                </c:pt>
                <c:pt idx="2">
                  <c:v>1095.2305555555554</c:v>
                </c:pt>
                <c:pt idx="3">
                  <c:v>1006.31</c:v>
                </c:pt>
                <c:pt idx="4">
                  <c:v>728.4892166666668</c:v>
                </c:pt>
                <c:pt idx="5">
                  <c:v>869.5972222222222</c:v>
                </c:pt>
                <c:pt idx="6">
                  <c:v>846.849537037037</c:v>
                </c:pt>
                <c:pt idx="7">
                  <c:v>818.75</c:v>
                </c:pt>
                <c:pt idx="8">
                  <c:v>746.625</c:v>
                </c:pt>
                <c:pt idx="9">
                  <c:v>789.0833333333335</c:v>
                </c:pt>
                <c:pt idx="10">
                  <c:v>705.5</c:v>
                </c:pt>
                <c:pt idx="11">
                  <c:v>450.75</c:v>
                </c:pt>
                <c:pt idx="12">
                  <c:v>440.1666666666665</c:v>
                </c:pt>
                <c:pt idx="13">
                  <c:v>467.2916666666665</c:v>
                </c:pt>
                <c:pt idx="14">
                  <c:v>501.7847222222222</c:v>
                </c:pt>
                <c:pt idx="15">
                  <c:v>483.7222222222222</c:v>
                </c:pt>
                <c:pt idx="16">
                  <c:v>457.0763888888889</c:v>
                </c:pt>
                <c:pt idx="17">
                  <c:v>455.99305555555543</c:v>
                </c:pt>
                <c:pt idx="18">
                  <c:v>460.9375</c:v>
                </c:pt>
                <c:pt idx="19">
                  <c:v>379.09027777777806</c:v>
                </c:pt>
                <c:pt idx="20">
                  <c:v>195.90972222222194</c:v>
                </c:pt>
                <c:pt idx="21">
                  <c:v>160.02777777777806</c:v>
                </c:pt>
                <c:pt idx="22">
                  <c:v>157.3125</c:v>
                </c:pt>
                <c:pt idx="23">
                  <c:v>49.68055555555566</c:v>
                </c:pt>
                <c:pt idx="24">
                  <c:v>56.55158730158723</c:v>
                </c:pt>
                <c:pt idx="25">
                  <c:v>70.67261904761904</c:v>
                </c:pt>
                <c:pt idx="26">
                  <c:v>74.00892857142867</c:v>
                </c:pt>
                <c:pt idx="27">
                  <c:v>61.92857142857133</c:v>
                </c:pt>
                <c:pt idx="28">
                  <c:v>-149.71428571428555</c:v>
                </c:pt>
                <c:pt idx="29">
                  <c:v>-121.81547619047615</c:v>
                </c:pt>
                <c:pt idx="30">
                  <c:v>-20.583333333333258</c:v>
                </c:pt>
                <c:pt idx="31">
                  <c:v>33.66666666666674</c:v>
                </c:pt>
                <c:pt idx="32">
                  <c:v>-129.4722222222224</c:v>
                </c:pt>
                <c:pt idx="33">
                  <c:v>-113.36111111111109</c:v>
                </c:pt>
                <c:pt idx="34">
                  <c:v>-94.81818181818176</c:v>
                </c:pt>
                <c:pt idx="35">
                  <c:v>-284</c:v>
                </c:pt>
              </c:numCache>
            </c:numRef>
          </c:val>
          <c:smooth val="0"/>
        </c:ser>
        <c:ser>
          <c:idx val="1"/>
          <c:order val="3"/>
          <c:tx>
            <c:v>Win</c:v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Numbers!$V$59:$V$94</c:f>
              <c:numCache>
                <c:ptCount val="36"/>
                <c:pt idx="0">
                  <c:v>-1110.727272727273</c:v>
                </c:pt>
                <c:pt idx="1">
                  <c:v>-843.1999999999998</c:v>
                </c:pt>
                <c:pt idx="2">
                  <c:v>-760.2694444444446</c:v>
                </c:pt>
                <c:pt idx="3">
                  <c:v>-745.31</c:v>
                </c:pt>
                <c:pt idx="4">
                  <c:v>-663.4353833333334</c:v>
                </c:pt>
                <c:pt idx="5">
                  <c:v>-546.9027777777778</c:v>
                </c:pt>
                <c:pt idx="6">
                  <c:v>-491.90046296296305</c:v>
                </c:pt>
                <c:pt idx="7">
                  <c:v>-416.25</c:v>
                </c:pt>
                <c:pt idx="8">
                  <c:v>-374.875</c:v>
                </c:pt>
                <c:pt idx="9">
                  <c:v>-339.9166666666665</c:v>
                </c:pt>
                <c:pt idx="10">
                  <c:v>-307.5</c:v>
                </c:pt>
                <c:pt idx="11">
                  <c:v>-458.25</c:v>
                </c:pt>
                <c:pt idx="12">
                  <c:v>-445.16666666666697</c:v>
                </c:pt>
                <c:pt idx="13">
                  <c:v>-405.375</c:v>
                </c:pt>
                <c:pt idx="14">
                  <c:v>-380.2152777777778</c:v>
                </c:pt>
                <c:pt idx="15">
                  <c:v>-359.94444444444434</c:v>
                </c:pt>
                <c:pt idx="16">
                  <c:v>-348.25694444444457</c:v>
                </c:pt>
                <c:pt idx="17">
                  <c:v>-344.00694444444457</c:v>
                </c:pt>
                <c:pt idx="18">
                  <c:v>-339.7291666666665</c:v>
                </c:pt>
                <c:pt idx="19">
                  <c:v>-324.24305555555543</c:v>
                </c:pt>
                <c:pt idx="20">
                  <c:v>-296.09027777777806</c:v>
                </c:pt>
                <c:pt idx="21">
                  <c:v>-294.63888888888846</c:v>
                </c:pt>
                <c:pt idx="22">
                  <c:v>-298.0208333333335</c:v>
                </c:pt>
                <c:pt idx="23">
                  <c:v>-170.31944444444434</c:v>
                </c:pt>
                <c:pt idx="24">
                  <c:v>-145.734126984127</c:v>
                </c:pt>
                <c:pt idx="25">
                  <c:v>-124.8988095238094</c:v>
                </c:pt>
                <c:pt idx="26">
                  <c:v>-114.84821428571445</c:v>
                </c:pt>
                <c:pt idx="27">
                  <c:v>-102.21428571428555</c:v>
                </c:pt>
                <c:pt idx="28">
                  <c:v>-67.14285714285711</c:v>
                </c:pt>
                <c:pt idx="29">
                  <c:v>-23.529761904761926</c:v>
                </c:pt>
                <c:pt idx="30">
                  <c:v>56.41666666666674</c:v>
                </c:pt>
                <c:pt idx="31">
                  <c:v>76.66666666666674</c:v>
                </c:pt>
                <c:pt idx="32">
                  <c:v>114.5277777777776</c:v>
                </c:pt>
                <c:pt idx="33">
                  <c:v>126.63888888888891</c:v>
                </c:pt>
                <c:pt idx="34">
                  <c:v>141.18181818181824</c:v>
                </c:pt>
                <c:pt idx="35">
                  <c:v>193</c:v>
                </c:pt>
              </c:numCache>
            </c:numRef>
          </c:val>
          <c:smooth val="0"/>
        </c:ser>
        <c:ser>
          <c:idx val="2"/>
          <c:order val="4"/>
          <c:tx>
            <c:v>Glas95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Numbers!$W$59:$W$94</c:f>
              <c:numCache>
                <c:ptCount val="36"/>
                <c:pt idx="0">
                  <c:v>45.272727272727025</c:v>
                </c:pt>
                <c:pt idx="1">
                  <c:v>168.80000000000018</c:v>
                </c:pt>
                <c:pt idx="2">
                  <c:v>287.2305555555554</c:v>
                </c:pt>
                <c:pt idx="3">
                  <c:v>300.69000000000005</c:v>
                </c:pt>
                <c:pt idx="4">
                  <c:v>309.81461666666655</c:v>
                </c:pt>
                <c:pt idx="5">
                  <c:v>353.5972222222222</c:v>
                </c:pt>
                <c:pt idx="6">
                  <c:v>335.84953703703695</c:v>
                </c:pt>
                <c:pt idx="7">
                  <c:v>338.75</c:v>
                </c:pt>
                <c:pt idx="8">
                  <c:v>324.625</c:v>
                </c:pt>
                <c:pt idx="9">
                  <c:v>309.0833333333335</c:v>
                </c:pt>
                <c:pt idx="10">
                  <c:v>333.5</c:v>
                </c:pt>
                <c:pt idx="11">
                  <c:v>310.75</c:v>
                </c:pt>
                <c:pt idx="12">
                  <c:v>316.5</c:v>
                </c:pt>
                <c:pt idx="13">
                  <c:v>348.95833333333303</c:v>
                </c:pt>
                <c:pt idx="14">
                  <c:v>366.7847222222222</c:v>
                </c:pt>
                <c:pt idx="15">
                  <c:v>368.05555555555566</c:v>
                </c:pt>
                <c:pt idx="16">
                  <c:v>360.74305555555543</c:v>
                </c:pt>
                <c:pt idx="17">
                  <c:v>345.99305555555543</c:v>
                </c:pt>
                <c:pt idx="18">
                  <c:v>338.9375</c:v>
                </c:pt>
                <c:pt idx="19">
                  <c:v>347.09027777777806</c:v>
                </c:pt>
                <c:pt idx="20">
                  <c:v>368.90972222222194</c:v>
                </c:pt>
                <c:pt idx="21">
                  <c:v>365.02777777777806</c:v>
                </c:pt>
                <c:pt idx="22">
                  <c:v>354.3125</c:v>
                </c:pt>
                <c:pt idx="23">
                  <c:v>300.68055555555566</c:v>
                </c:pt>
                <c:pt idx="24">
                  <c:v>274.55158730158723</c:v>
                </c:pt>
                <c:pt idx="25">
                  <c:v>239.67261904761904</c:v>
                </c:pt>
                <c:pt idx="26">
                  <c:v>195.00892857142867</c:v>
                </c:pt>
                <c:pt idx="27">
                  <c:v>151.92857142857133</c:v>
                </c:pt>
                <c:pt idx="28">
                  <c:v>132.28571428571445</c:v>
                </c:pt>
                <c:pt idx="29">
                  <c:v>120.18452380952385</c:v>
                </c:pt>
                <c:pt idx="30">
                  <c:v>145.41666666666674</c:v>
                </c:pt>
                <c:pt idx="31">
                  <c:v>125.66666666666674</c:v>
                </c:pt>
                <c:pt idx="32">
                  <c:v>124.5277777777776</c:v>
                </c:pt>
                <c:pt idx="33">
                  <c:v>96.63888888888891</c:v>
                </c:pt>
                <c:pt idx="34">
                  <c:v>72.18181818181824</c:v>
                </c:pt>
                <c:pt idx="35">
                  <c:v>84</c:v>
                </c:pt>
              </c:numCache>
            </c:numRef>
          </c:val>
          <c:smooth val="0"/>
        </c:ser>
        <c:ser>
          <c:idx val="7"/>
          <c:order val="5"/>
          <c:tx>
            <c:v>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Numbers!$X$59:$X$94</c:f>
              <c:numCache>
                <c:ptCount val="36"/>
                <c:pt idx="0">
                  <c:v>371.272727272727</c:v>
                </c:pt>
                <c:pt idx="1">
                  <c:v>212.80000000000018</c:v>
                </c:pt>
                <c:pt idx="2">
                  <c:v>114.23055555555538</c:v>
                </c:pt>
                <c:pt idx="3">
                  <c:v>63.690000000000055</c:v>
                </c:pt>
                <c:pt idx="4">
                  <c:v>8.814616666666552</c:v>
                </c:pt>
                <c:pt idx="5">
                  <c:v>83.59722222222217</c:v>
                </c:pt>
                <c:pt idx="6">
                  <c:v>128.84953703703695</c:v>
                </c:pt>
                <c:pt idx="7">
                  <c:v>17.75</c:v>
                </c:pt>
                <c:pt idx="8">
                  <c:v>-63.375</c:v>
                </c:pt>
                <c:pt idx="9">
                  <c:v>-38.916666666666515</c:v>
                </c:pt>
                <c:pt idx="10">
                  <c:v>-45.5</c:v>
                </c:pt>
                <c:pt idx="11">
                  <c:v>126.75</c:v>
                </c:pt>
                <c:pt idx="12">
                  <c:v>148.16666666666652</c:v>
                </c:pt>
                <c:pt idx="13">
                  <c:v>-35.708333333333485</c:v>
                </c:pt>
                <c:pt idx="14">
                  <c:v>-176.21527777777783</c:v>
                </c:pt>
                <c:pt idx="15">
                  <c:v>-227.27777777777783</c:v>
                </c:pt>
                <c:pt idx="16">
                  <c:v>-226.9236111111111</c:v>
                </c:pt>
                <c:pt idx="17">
                  <c:v>-219.00694444444457</c:v>
                </c:pt>
                <c:pt idx="18">
                  <c:v>-211.0625</c:v>
                </c:pt>
                <c:pt idx="19">
                  <c:v>-191.90972222222194</c:v>
                </c:pt>
                <c:pt idx="20">
                  <c:v>-160.09027777777806</c:v>
                </c:pt>
                <c:pt idx="21">
                  <c:v>-172.3055555555552</c:v>
                </c:pt>
                <c:pt idx="22">
                  <c:v>-189.35416666666674</c:v>
                </c:pt>
                <c:pt idx="23">
                  <c:v>-75.31944444444434</c:v>
                </c:pt>
                <c:pt idx="24">
                  <c:v>-104.19841269841277</c:v>
                </c:pt>
                <c:pt idx="25">
                  <c:v>-136.82738095238096</c:v>
                </c:pt>
                <c:pt idx="26">
                  <c:v>-180.24107142857133</c:v>
                </c:pt>
                <c:pt idx="27">
                  <c:v>-221.07142857142867</c:v>
                </c:pt>
                <c:pt idx="28">
                  <c:v>-172.71428571428555</c:v>
                </c:pt>
                <c:pt idx="29">
                  <c:v>-125.81547619047615</c:v>
                </c:pt>
                <c:pt idx="30">
                  <c:v>-32.58333333333326</c:v>
                </c:pt>
                <c:pt idx="31">
                  <c:v>16.666666666666742</c:v>
                </c:pt>
                <c:pt idx="32">
                  <c:v>85.5277777777776</c:v>
                </c:pt>
                <c:pt idx="33">
                  <c:v>101.63888888888891</c:v>
                </c:pt>
              </c:numCache>
            </c:numRef>
          </c:val>
          <c:smooth val="0"/>
        </c:ser>
        <c:ser>
          <c:idx val="3"/>
          <c:order val="6"/>
          <c:tx>
            <c:v>TX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Numbers!$Y$59:$Y$94</c:f>
              <c:numCache>
                <c:ptCount val="36"/>
                <c:pt idx="0">
                  <c:v>-746.727272727273</c:v>
                </c:pt>
                <c:pt idx="1">
                  <c:v>-1042.1999999999998</c:v>
                </c:pt>
                <c:pt idx="2">
                  <c:v>-942.4361111111111</c:v>
                </c:pt>
                <c:pt idx="3">
                  <c:v>-947.31</c:v>
                </c:pt>
                <c:pt idx="4">
                  <c:v>-873.1853833333334</c:v>
                </c:pt>
                <c:pt idx="5">
                  <c:v>-769.0694444444443</c:v>
                </c:pt>
                <c:pt idx="6">
                  <c:v>-731.5949074074074</c:v>
                </c:pt>
                <c:pt idx="7">
                  <c:v>-663.25</c:v>
                </c:pt>
                <c:pt idx="8">
                  <c:v>-632.375</c:v>
                </c:pt>
                <c:pt idx="9">
                  <c:v>-607.9166666666665</c:v>
                </c:pt>
                <c:pt idx="10">
                  <c:v>-643.5</c:v>
                </c:pt>
                <c:pt idx="11">
                  <c:v>-430.25</c:v>
                </c:pt>
                <c:pt idx="12">
                  <c:v>-487.8333333333335</c:v>
                </c:pt>
                <c:pt idx="13">
                  <c:v>-518.7083333333335</c:v>
                </c:pt>
                <c:pt idx="14">
                  <c:v>-493.63194444444434</c:v>
                </c:pt>
                <c:pt idx="15">
                  <c:v>-485.1111111111113</c:v>
                </c:pt>
                <c:pt idx="16">
                  <c:v>-485.1736111111111</c:v>
                </c:pt>
                <c:pt idx="17">
                  <c:v>-492.6736111111111</c:v>
                </c:pt>
                <c:pt idx="18">
                  <c:v>-500.1458333333335</c:v>
                </c:pt>
                <c:pt idx="19">
                  <c:v>-496.40972222222194</c:v>
                </c:pt>
                <c:pt idx="20">
                  <c:v>-480.0069444444448</c:v>
                </c:pt>
                <c:pt idx="21">
                  <c:v>-490.3055555555552</c:v>
                </c:pt>
                <c:pt idx="22">
                  <c:v>-505.4375</c:v>
                </c:pt>
                <c:pt idx="23">
                  <c:v>-389.4861111111111</c:v>
                </c:pt>
                <c:pt idx="24">
                  <c:v>-383.031746031746</c:v>
                </c:pt>
                <c:pt idx="25">
                  <c:v>-380.32738095238096</c:v>
                </c:pt>
                <c:pt idx="26">
                  <c:v>-376.99107142857133</c:v>
                </c:pt>
                <c:pt idx="27">
                  <c:v>-355.07142857142867</c:v>
                </c:pt>
                <c:pt idx="28">
                  <c:v>-308.71428571428555</c:v>
                </c:pt>
                <c:pt idx="29">
                  <c:v>-251.31547619047615</c:v>
                </c:pt>
                <c:pt idx="30">
                  <c:v>-157.58333333333326</c:v>
                </c:pt>
                <c:pt idx="31">
                  <c:v>-127.33333333333326</c:v>
                </c:pt>
                <c:pt idx="32">
                  <c:v>-118.4722222222224</c:v>
                </c:pt>
                <c:pt idx="33">
                  <c:v>-127.36111111111109</c:v>
                </c:pt>
                <c:pt idx="34">
                  <c:v>-120.81818181818176</c:v>
                </c:pt>
                <c:pt idx="35">
                  <c:v>-91</c:v>
                </c:pt>
              </c:numCache>
            </c:numRef>
          </c:val>
          <c:smooth val="0"/>
        </c:ser>
        <c:marker val="1"/>
        <c:axId val="44446413"/>
        <c:axId val="64473398"/>
      </c:lineChart>
      <c:lineChart>
        <c:grouping val="standard"/>
        <c:varyColors val="0"/>
        <c:ser>
          <c:idx val="8"/>
          <c:order val="7"/>
          <c:tx>
            <c:v>Balt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Numbers!$Z$59:$Z$94</c:f>
              <c:numCache>
                <c:ptCount val="36"/>
                <c:pt idx="0">
                  <c:v>-372.727272727273</c:v>
                </c:pt>
                <c:pt idx="1">
                  <c:v>-176</c:v>
                </c:pt>
                <c:pt idx="2">
                  <c:v>-221.36944444444498</c:v>
                </c:pt>
                <c:pt idx="3">
                  <c:v>-334.71000000000004</c:v>
                </c:pt>
                <c:pt idx="4">
                  <c:v>-452.38538333333327</c:v>
                </c:pt>
                <c:pt idx="5">
                  <c:v>-535.4027777777778</c:v>
                </c:pt>
                <c:pt idx="6">
                  <c:v>-516.150462962963</c:v>
                </c:pt>
                <c:pt idx="7">
                  <c:v>-485.25</c:v>
                </c:pt>
                <c:pt idx="8">
                  <c:v>-484.375</c:v>
                </c:pt>
                <c:pt idx="9">
                  <c:v>-579.9166666666665</c:v>
                </c:pt>
                <c:pt idx="10">
                  <c:v>-635.5</c:v>
                </c:pt>
                <c:pt idx="11">
                  <c:v>-343.25</c:v>
                </c:pt>
                <c:pt idx="12">
                  <c:v>-321.8333333333335</c:v>
                </c:pt>
                <c:pt idx="13">
                  <c:v>-273.7083333333335</c:v>
                </c:pt>
                <c:pt idx="14">
                  <c:v>-224.21527777777783</c:v>
                </c:pt>
                <c:pt idx="15">
                  <c:v>-196.27777777777783</c:v>
                </c:pt>
                <c:pt idx="16">
                  <c:v>-176.9236111111111</c:v>
                </c:pt>
                <c:pt idx="17">
                  <c:v>-165.00694444444457</c:v>
                </c:pt>
                <c:pt idx="18">
                  <c:v>-153.0625</c:v>
                </c:pt>
                <c:pt idx="19">
                  <c:v>-129.90972222222194</c:v>
                </c:pt>
                <c:pt idx="20">
                  <c:v>-76.09027777777806</c:v>
                </c:pt>
                <c:pt idx="21">
                  <c:v>-48.972222222221944</c:v>
                </c:pt>
                <c:pt idx="22">
                  <c:v>-94.6875</c:v>
                </c:pt>
                <c:pt idx="23">
                  <c:v>-284.31944444444434</c:v>
                </c:pt>
                <c:pt idx="24">
                  <c:v>-271.44841269841277</c:v>
                </c:pt>
                <c:pt idx="25">
                  <c:v>-254.32738095238096</c:v>
                </c:pt>
                <c:pt idx="26">
                  <c:v>-247.99107142857133</c:v>
                </c:pt>
                <c:pt idx="27">
                  <c:v>-239.07142857142867</c:v>
                </c:pt>
                <c:pt idx="28">
                  <c:v>-207.71428571428555</c:v>
                </c:pt>
                <c:pt idx="29">
                  <c:v>-167.81547619047615</c:v>
                </c:pt>
                <c:pt idx="30">
                  <c:v>-177.58333333333326</c:v>
                </c:pt>
                <c:pt idx="31">
                  <c:v>-192.33333333333326</c:v>
                </c:pt>
                <c:pt idx="32">
                  <c:v>-195.80555555555566</c:v>
                </c:pt>
                <c:pt idx="33">
                  <c:v>-225.02777777777783</c:v>
                </c:pt>
                <c:pt idx="34">
                  <c:v>-251.81818181818176</c:v>
                </c:pt>
                <c:pt idx="35">
                  <c:v>-163</c:v>
                </c:pt>
              </c:numCache>
            </c:numRef>
          </c:val>
          <c:smooth val="0"/>
        </c:ser>
        <c:ser>
          <c:idx val="6"/>
          <c:order val="8"/>
          <c:tx>
            <c:v>C2K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Numbers!$A$59:$A$94</c:f>
              <c:strCache>
                <c:ptCount val="36"/>
                <c:pt idx="0">
                  <c:v>32324</c:v>
                </c:pt>
                <c:pt idx="1">
                  <c:v>32294</c:v>
                </c:pt>
                <c:pt idx="2">
                  <c:v>32263</c:v>
                </c:pt>
                <c:pt idx="3">
                  <c:v>32233</c:v>
                </c:pt>
                <c:pt idx="4">
                  <c:v>32202</c:v>
                </c:pt>
                <c:pt idx="5">
                  <c:v>32174</c:v>
                </c:pt>
                <c:pt idx="6">
                  <c:v>32143</c:v>
                </c:pt>
                <c:pt idx="7">
                  <c:v>32112</c:v>
                </c:pt>
                <c:pt idx="8">
                  <c:v>32082</c:v>
                </c:pt>
                <c:pt idx="9">
                  <c:v>32051</c:v>
                </c:pt>
                <c:pt idx="10">
                  <c:v>32021</c:v>
                </c:pt>
                <c:pt idx="11">
                  <c:v>31990</c:v>
                </c:pt>
                <c:pt idx="12">
                  <c:v>31959</c:v>
                </c:pt>
                <c:pt idx="13">
                  <c:v>31929</c:v>
                </c:pt>
                <c:pt idx="14">
                  <c:v>31898</c:v>
                </c:pt>
                <c:pt idx="15">
                  <c:v>31868</c:v>
                </c:pt>
                <c:pt idx="16">
                  <c:v>31837</c:v>
                </c:pt>
                <c:pt idx="17">
                  <c:v>31808</c:v>
                </c:pt>
                <c:pt idx="18">
                  <c:v>31777</c:v>
                </c:pt>
                <c:pt idx="19">
                  <c:v>31746</c:v>
                </c:pt>
                <c:pt idx="20">
                  <c:v>31716</c:v>
                </c:pt>
                <c:pt idx="21">
                  <c:v>31685</c:v>
                </c:pt>
                <c:pt idx="22">
                  <c:v>31655</c:v>
                </c:pt>
                <c:pt idx="23">
                  <c:v>31624</c:v>
                </c:pt>
                <c:pt idx="24">
                  <c:v>31593</c:v>
                </c:pt>
                <c:pt idx="25">
                  <c:v>31563</c:v>
                </c:pt>
                <c:pt idx="26">
                  <c:v>31532</c:v>
                </c:pt>
                <c:pt idx="27">
                  <c:v>31502</c:v>
                </c:pt>
                <c:pt idx="28">
                  <c:v>31471</c:v>
                </c:pt>
                <c:pt idx="29">
                  <c:v>31443</c:v>
                </c:pt>
                <c:pt idx="30">
                  <c:v>31412</c:v>
                </c:pt>
                <c:pt idx="31">
                  <c:v>31381</c:v>
                </c:pt>
                <c:pt idx="32">
                  <c:v>31351</c:v>
                </c:pt>
                <c:pt idx="33">
                  <c:v>31320</c:v>
                </c:pt>
                <c:pt idx="34">
                  <c:v>31290</c:v>
                </c:pt>
                <c:pt idx="35">
                  <c:v>31259</c:v>
                </c:pt>
              </c:strCache>
            </c:strRef>
          </c:cat>
          <c:val>
            <c:numRef>
              <c:f>Numbers!$S$59:$S$94</c:f>
              <c:numCache>
                <c:ptCount val="36"/>
                <c:pt idx="0">
                  <c:v>108.27272727272702</c:v>
                </c:pt>
                <c:pt idx="1">
                  <c:v>274.8000000000002</c:v>
                </c:pt>
                <c:pt idx="2">
                  <c:v>351.2305555555554</c:v>
                </c:pt>
                <c:pt idx="3">
                  <c:v>468.69000000000005</c:v>
                </c:pt>
                <c:pt idx="4">
                  <c:v>474.81461666666655</c:v>
                </c:pt>
                <c:pt idx="5">
                  <c:v>455.5972222222222</c:v>
                </c:pt>
                <c:pt idx="6">
                  <c:v>522.849537037037</c:v>
                </c:pt>
                <c:pt idx="7">
                  <c:v>502.75</c:v>
                </c:pt>
                <c:pt idx="8">
                  <c:v>338.625</c:v>
                </c:pt>
                <c:pt idx="9">
                  <c:v>130.08333333333348</c:v>
                </c:pt>
                <c:pt idx="10">
                  <c:v>156.5</c:v>
                </c:pt>
                <c:pt idx="11">
                  <c:v>375.75</c:v>
                </c:pt>
                <c:pt idx="12">
                  <c:v>393.1666666666665</c:v>
                </c:pt>
                <c:pt idx="13">
                  <c:v>234.29166666666652</c:v>
                </c:pt>
                <c:pt idx="14">
                  <c:v>184.78472222222217</c:v>
                </c:pt>
                <c:pt idx="15">
                  <c:v>174.72222222222217</c:v>
                </c:pt>
                <c:pt idx="16">
                  <c:v>189.0763888888889</c:v>
                </c:pt>
                <c:pt idx="17">
                  <c:v>195.99305555555543</c:v>
                </c:pt>
                <c:pt idx="18">
                  <c:v>216.9375</c:v>
                </c:pt>
                <c:pt idx="19">
                  <c:v>160.09027777777806</c:v>
                </c:pt>
                <c:pt idx="20">
                  <c:v>41.909722222221944</c:v>
                </c:pt>
                <c:pt idx="21">
                  <c:v>21.027777777778056</c:v>
                </c:pt>
                <c:pt idx="22">
                  <c:v>31.3125</c:v>
                </c:pt>
                <c:pt idx="23">
                  <c:v>27.680555555555657</c:v>
                </c:pt>
                <c:pt idx="24">
                  <c:v>71.55158730158723</c:v>
                </c:pt>
                <c:pt idx="25">
                  <c:v>103.67261904761904</c:v>
                </c:pt>
                <c:pt idx="26">
                  <c:v>130.00892857142867</c:v>
                </c:pt>
                <c:pt idx="27">
                  <c:v>151.92857142857133</c:v>
                </c:pt>
                <c:pt idx="28">
                  <c:v>205.28571428571445</c:v>
                </c:pt>
                <c:pt idx="29">
                  <c:v>264.18452380952385</c:v>
                </c:pt>
                <c:pt idx="30">
                  <c:v>353.41666666666674</c:v>
                </c:pt>
                <c:pt idx="31">
                  <c:v>301.66666666666674</c:v>
                </c:pt>
                <c:pt idx="32">
                  <c:v>218.5277777777776</c:v>
                </c:pt>
                <c:pt idx="33">
                  <c:v>199.6388888888889</c:v>
                </c:pt>
                <c:pt idx="34">
                  <c:v>244.18181818181824</c:v>
                </c:pt>
                <c:pt idx="35">
                  <c:v>126</c:v>
                </c:pt>
              </c:numCache>
            </c:numRef>
          </c:val>
          <c:smooth val="0"/>
        </c:ser>
        <c:ser>
          <c:idx val="10"/>
          <c:order val="9"/>
          <c:tx>
            <c:v>Philly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Numbers!$AA$59:$AA$94</c:f>
              <c:numCache>
                <c:ptCount val="36"/>
                <c:pt idx="0">
                  <c:v>-273.727272727273</c:v>
                </c:pt>
                <c:pt idx="1">
                  <c:v>-829.1999999999998</c:v>
                </c:pt>
                <c:pt idx="2">
                  <c:v>-865.7694444444446</c:v>
                </c:pt>
                <c:pt idx="3">
                  <c:v>-992.31</c:v>
                </c:pt>
                <c:pt idx="4">
                  <c:v>-1006.1853833333334</c:v>
                </c:pt>
                <c:pt idx="5">
                  <c:v>-923.4027777777778</c:v>
                </c:pt>
                <c:pt idx="6">
                  <c:v>-872.150462962963</c:v>
                </c:pt>
                <c:pt idx="7">
                  <c:v>-832.25</c:v>
                </c:pt>
                <c:pt idx="8">
                  <c:v>-764.375</c:v>
                </c:pt>
                <c:pt idx="9">
                  <c:v>-726.9166666666665</c:v>
                </c:pt>
                <c:pt idx="10">
                  <c:v>-735.5</c:v>
                </c:pt>
                <c:pt idx="11">
                  <c:v>-732.25</c:v>
                </c:pt>
                <c:pt idx="12">
                  <c:v>-724.8333333333335</c:v>
                </c:pt>
                <c:pt idx="13">
                  <c:v>-571.7083333333335</c:v>
                </c:pt>
                <c:pt idx="14">
                  <c:v>-619.2152777777778</c:v>
                </c:pt>
                <c:pt idx="15">
                  <c:v>-603.2777777777778</c:v>
                </c:pt>
                <c:pt idx="16">
                  <c:v>-608.9236111111111</c:v>
                </c:pt>
                <c:pt idx="17">
                  <c:v>-636.0069444444446</c:v>
                </c:pt>
                <c:pt idx="18">
                  <c:v>-607.0625</c:v>
                </c:pt>
                <c:pt idx="19">
                  <c:v>-575.909722222222</c:v>
                </c:pt>
                <c:pt idx="20">
                  <c:v>-529.090277777778</c:v>
                </c:pt>
                <c:pt idx="21">
                  <c:v>-544.972222222222</c:v>
                </c:pt>
                <c:pt idx="22">
                  <c:v>-529.6875</c:v>
                </c:pt>
                <c:pt idx="23">
                  <c:v>-461.31944444444434</c:v>
                </c:pt>
                <c:pt idx="24">
                  <c:v>-439.44841269841277</c:v>
                </c:pt>
                <c:pt idx="25">
                  <c:v>-411.32738095238096</c:v>
                </c:pt>
                <c:pt idx="26">
                  <c:v>-388.99107142857133</c:v>
                </c:pt>
                <c:pt idx="27">
                  <c:v>-365.07142857142867</c:v>
                </c:pt>
                <c:pt idx="28">
                  <c:v>-458.71428571428555</c:v>
                </c:pt>
                <c:pt idx="29">
                  <c:v>-490.81547619047615</c:v>
                </c:pt>
                <c:pt idx="30">
                  <c:v>-449.58333333333326</c:v>
                </c:pt>
                <c:pt idx="31">
                  <c:v>-452.33333333333326</c:v>
                </c:pt>
                <c:pt idx="32">
                  <c:v>-419.4722222222224</c:v>
                </c:pt>
                <c:pt idx="33">
                  <c:v>-461.3611111111111</c:v>
                </c:pt>
                <c:pt idx="34">
                  <c:v>-422.81818181818176</c:v>
                </c:pt>
                <c:pt idx="35">
                  <c:v>-376</c:v>
                </c:pt>
              </c:numCache>
            </c:numRef>
          </c:val>
          <c:smooth val="0"/>
        </c:ser>
        <c:ser>
          <c:idx val="9"/>
          <c:order val="10"/>
          <c:tx>
            <c:v>N4</c:v>
          </c:tx>
          <c:spPr>
            <a:ln w="254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Numbers!$AC$59:$AC$94</c:f>
              <c:numCache>
                <c:ptCount val="36"/>
                <c:pt idx="2">
                  <c:v>-251.76944444444462</c:v>
                </c:pt>
                <c:pt idx="3">
                  <c:v>-151.80999999999995</c:v>
                </c:pt>
                <c:pt idx="4">
                  <c:v>-56.18538333333345</c:v>
                </c:pt>
                <c:pt idx="5">
                  <c:v>17.59722222222217</c:v>
                </c:pt>
                <c:pt idx="6">
                  <c:v>-78.15046296296305</c:v>
                </c:pt>
                <c:pt idx="7">
                  <c:v>-22.25</c:v>
                </c:pt>
                <c:pt idx="8">
                  <c:v>16.625</c:v>
                </c:pt>
                <c:pt idx="9">
                  <c:v>113.08333333333348</c:v>
                </c:pt>
                <c:pt idx="10">
                  <c:v>153.5</c:v>
                </c:pt>
                <c:pt idx="11">
                  <c:v>90.75</c:v>
                </c:pt>
                <c:pt idx="12">
                  <c:v>111.16666666666652</c:v>
                </c:pt>
                <c:pt idx="13">
                  <c:v>182.29166666666652</c:v>
                </c:pt>
                <c:pt idx="14">
                  <c:v>236.78472222222217</c:v>
                </c:pt>
                <c:pt idx="15">
                  <c:v>281.7222222222222</c:v>
                </c:pt>
                <c:pt idx="16">
                  <c:v>311.0763888888889</c:v>
                </c:pt>
                <c:pt idx="17">
                  <c:v>312.99305555555543</c:v>
                </c:pt>
                <c:pt idx="18">
                  <c:v>258.9375</c:v>
                </c:pt>
                <c:pt idx="19">
                  <c:v>287.59027777777806</c:v>
                </c:pt>
                <c:pt idx="20">
                  <c:v>330.90972222222194</c:v>
                </c:pt>
                <c:pt idx="21">
                  <c:v>358.02777777777806</c:v>
                </c:pt>
                <c:pt idx="22">
                  <c:v>370.3125</c:v>
                </c:pt>
                <c:pt idx="23">
                  <c:v>457.68055555555566</c:v>
                </c:pt>
                <c:pt idx="24">
                  <c:v>435.55158730158723</c:v>
                </c:pt>
                <c:pt idx="25">
                  <c:v>387.67261904761904</c:v>
                </c:pt>
                <c:pt idx="26">
                  <c:v>408.00892857142867</c:v>
                </c:pt>
                <c:pt idx="27">
                  <c:v>435.92857142857133</c:v>
                </c:pt>
                <c:pt idx="28">
                  <c:v>467.28571428571445</c:v>
                </c:pt>
                <c:pt idx="29">
                  <c:v>316.18452380952385</c:v>
                </c:pt>
                <c:pt idx="30">
                  <c:v>266.41666666666674</c:v>
                </c:pt>
                <c:pt idx="31">
                  <c:v>176.66666666666674</c:v>
                </c:pt>
                <c:pt idx="32">
                  <c:v>180.5277777777776</c:v>
                </c:pt>
                <c:pt idx="33">
                  <c:v>204.6388888888889</c:v>
                </c:pt>
                <c:pt idx="34">
                  <c:v>224.18181818181824</c:v>
                </c:pt>
                <c:pt idx="35">
                  <c:v>313</c:v>
                </c:pt>
              </c:numCache>
            </c:numRef>
          </c:val>
          <c:smooth val="0"/>
        </c:ser>
        <c:ser>
          <c:idx val="11"/>
          <c:order val="11"/>
          <c:tx>
            <c:v>Torcon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Numbers!$AB$59:$AB$94</c:f>
              <c:numCache>
                <c:ptCount val="36"/>
                <c:pt idx="0">
                  <c:v>-836.727272727273</c:v>
                </c:pt>
                <c:pt idx="1">
                  <c:v>-611.1999999999998</c:v>
                </c:pt>
                <c:pt idx="2">
                  <c:v>-511.7694444444446</c:v>
                </c:pt>
                <c:pt idx="3">
                  <c:v>-454.30999999999995</c:v>
                </c:pt>
                <c:pt idx="4">
                  <c:v>-375.18538333333345</c:v>
                </c:pt>
                <c:pt idx="5">
                  <c:v>-252.40277777777783</c:v>
                </c:pt>
                <c:pt idx="6">
                  <c:v>-249.15046296296305</c:v>
                </c:pt>
                <c:pt idx="7">
                  <c:v>-317.25</c:v>
                </c:pt>
                <c:pt idx="8">
                  <c:v>-264.375</c:v>
                </c:pt>
                <c:pt idx="9">
                  <c:v>-328.9166666666665</c:v>
                </c:pt>
                <c:pt idx="10">
                  <c:v>-231.5</c:v>
                </c:pt>
                <c:pt idx="11">
                  <c:v>-19.25</c:v>
                </c:pt>
                <c:pt idx="12">
                  <c:v>-77.83333333333348</c:v>
                </c:pt>
                <c:pt idx="13">
                  <c:v>-69.70833333333348</c:v>
                </c:pt>
                <c:pt idx="14">
                  <c:v>-93.21527777777783</c:v>
                </c:pt>
                <c:pt idx="15">
                  <c:v>-96.27777777777783</c:v>
                </c:pt>
                <c:pt idx="16">
                  <c:v>-87.92361111111109</c:v>
                </c:pt>
                <c:pt idx="17">
                  <c:v>-81.00694444444457</c:v>
                </c:pt>
                <c:pt idx="18">
                  <c:v>-102.0625</c:v>
                </c:pt>
                <c:pt idx="19">
                  <c:v>-65.90972222222194</c:v>
                </c:pt>
                <c:pt idx="20">
                  <c:v>-65.09027777777806</c:v>
                </c:pt>
                <c:pt idx="21">
                  <c:v>-67.97222222222194</c:v>
                </c:pt>
                <c:pt idx="22">
                  <c:v>-57.6875</c:v>
                </c:pt>
                <c:pt idx="23">
                  <c:v>-231.31944444444434</c:v>
                </c:pt>
                <c:pt idx="24">
                  <c:v>-191.44841269841277</c:v>
                </c:pt>
                <c:pt idx="25">
                  <c:v>-177.32738095238096</c:v>
                </c:pt>
                <c:pt idx="26">
                  <c:v>-145.99107142857133</c:v>
                </c:pt>
                <c:pt idx="27">
                  <c:v>-137.07142857142867</c:v>
                </c:pt>
                <c:pt idx="28">
                  <c:v>-82.71428571428555</c:v>
                </c:pt>
                <c:pt idx="29">
                  <c:v>-183.81547619047615</c:v>
                </c:pt>
                <c:pt idx="30">
                  <c:v>-161.58333333333326</c:v>
                </c:pt>
                <c:pt idx="31">
                  <c:v>-138.33333333333326</c:v>
                </c:pt>
                <c:pt idx="32">
                  <c:v>-110.4722222222224</c:v>
                </c:pt>
                <c:pt idx="33">
                  <c:v>-76.36111111111109</c:v>
                </c:pt>
                <c:pt idx="34">
                  <c:v>-84.81818181818176</c:v>
                </c:pt>
                <c:pt idx="35">
                  <c:v>-75</c:v>
                </c:pt>
              </c:numCache>
            </c:numRef>
          </c:val>
          <c:smooth val="0"/>
        </c:ser>
        <c:ser>
          <c:idx val="13"/>
          <c:order val="12"/>
          <c:tx>
            <c:v>Glas05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Numbers!$AD$59:$AD$94</c:f>
              <c:numCache>
                <c:ptCount val="36"/>
                <c:pt idx="15">
                  <c:v>-69.27777777777783</c:v>
                </c:pt>
                <c:pt idx="16">
                  <c:v>-102.92361111111109</c:v>
                </c:pt>
                <c:pt idx="17">
                  <c:v>-140.00694444444457</c:v>
                </c:pt>
                <c:pt idx="18">
                  <c:v>-114.0625</c:v>
                </c:pt>
                <c:pt idx="19">
                  <c:v>-99.90972222222194</c:v>
                </c:pt>
                <c:pt idx="20">
                  <c:v>-84.09027777777806</c:v>
                </c:pt>
                <c:pt idx="21">
                  <c:v>-85.97222222222194</c:v>
                </c:pt>
                <c:pt idx="22">
                  <c:v>-261.6875</c:v>
                </c:pt>
                <c:pt idx="23">
                  <c:v>-273.31944444444434</c:v>
                </c:pt>
                <c:pt idx="24">
                  <c:v>-241.44841269841277</c:v>
                </c:pt>
                <c:pt idx="25">
                  <c:v>-206.32738095238096</c:v>
                </c:pt>
                <c:pt idx="26">
                  <c:v>-232.99107142857133</c:v>
                </c:pt>
                <c:pt idx="27">
                  <c:v>-433.07142857142867</c:v>
                </c:pt>
                <c:pt idx="28">
                  <c:v>-462.71428571428555</c:v>
                </c:pt>
                <c:pt idx="29">
                  <c:v>-460.81547619047615</c:v>
                </c:pt>
                <c:pt idx="30">
                  <c:v>-444.58333333333326</c:v>
                </c:pt>
                <c:pt idx="31">
                  <c:v>-428.33333333333326</c:v>
                </c:pt>
                <c:pt idx="32">
                  <c:v>-368.4722222222224</c:v>
                </c:pt>
                <c:pt idx="33">
                  <c:v>-336.3611111111111</c:v>
                </c:pt>
                <c:pt idx="34">
                  <c:v>-292.81818181818176</c:v>
                </c:pt>
              </c:numCache>
            </c:numRef>
          </c:val>
          <c:smooth val="0"/>
        </c:ser>
        <c:marker val="1"/>
        <c:axId val="43389671"/>
        <c:axId val="54962720"/>
      </c:lineChart>
      <c:catAx>
        <c:axId val="4444641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4473398"/>
        <c:crosses val="autoZero"/>
        <c:auto val="0"/>
        <c:lblOffset val="100"/>
        <c:tickLblSkip val="6"/>
        <c:noMultiLvlLbl val="0"/>
      </c:catAx>
      <c:valAx>
        <c:axId val="6447339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44446413"/>
        <c:crossesAt val="1"/>
        <c:crossBetween val="midCat"/>
        <c:dispUnits/>
      </c:valAx>
      <c:catAx>
        <c:axId val="43389671"/>
        <c:scaling>
          <c:orientation val="maxMin"/>
        </c:scaling>
        <c:axPos val="b"/>
        <c:delete val="1"/>
        <c:majorTickMark val="in"/>
        <c:minorTickMark val="none"/>
        <c:tickLblPos val="nextTo"/>
        <c:crossAx val="54962720"/>
        <c:crosses val="autoZero"/>
        <c:auto val="0"/>
        <c:lblOffset val="100"/>
        <c:noMultiLvlLbl val="0"/>
      </c:catAx>
      <c:valAx>
        <c:axId val="54962720"/>
        <c:scaling>
          <c:orientation val="minMax"/>
        </c:scaling>
        <c:axPos val="r"/>
        <c:delete val="1"/>
        <c:majorTickMark val="in"/>
        <c:minorTickMark val="none"/>
        <c:tickLblPos val="nextTo"/>
        <c:crossAx val="433896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05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All members as a function of months before Worldcon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25"/>
          <c:w val="0.98625"/>
          <c:h val="0.905"/>
        </c:manualLayout>
      </c:layout>
      <c:lineChart>
        <c:grouping val="standard"/>
        <c:varyColors val="0"/>
        <c:ser>
          <c:idx val="0"/>
          <c:order val="0"/>
          <c:tx>
            <c:v>N3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Numbers!$R$9:$R$45</c:f>
              <c:numCache>
                <c:ptCount val="37"/>
                <c:pt idx="1">
                  <c:v>1044.454545454545</c:v>
                </c:pt>
                <c:pt idx="2">
                  <c:v>833.9818181818182</c:v>
                </c:pt>
                <c:pt idx="3">
                  <c:v>787.1606060606055</c:v>
                </c:pt>
                <c:pt idx="4">
                  <c:v>745.5254545454545</c:v>
                </c:pt>
                <c:pt idx="5">
                  <c:v>778.525036363636</c:v>
                </c:pt>
                <c:pt idx="6">
                  <c:v>341.01388888888914</c:v>
                </c:pt>
                <c:pt idx="7">
                  <c:v>204.59953703703695</c:v>
                </c:pt>
                <c:pt idx="8">
                  <c:v>126.875</c:v>
                </c:pt>
                <c:pt idx="9">
                  <c:v>181.2638888888887</c:v>
                </c:pt>
                <c:pt idx="10">
                  <c:v>226.9861111111113</c:v>
                </c:pt>
                <c:pt idx="11">
                  <c:v>180</c:v>
                </c:pt>
                <c:pt idx="12">
                  <c:v>-132.875</c:v>
                </c:pt>
                <c:pt idx="13">
                  <c:v>-139.58333333333348</c:v>
                </c:pt>
                <c:pt idx="14">
                  <c:v>-179.125</c:v>
                </c:pt>
                <c:pt idx="15">
                  <c:v>-144.71527777777783</c:v>
                </c:pt>
                <c:pt idx="16">
                  <c:v>-127.52777777777783</c:v>
                </c:pt>
                <c:pt idx="17">
                  <c:v>-108.0069444444448</c:v>
                </c:pt>
                <c:pt idx="18">
                  <c:v>-95.92361111111131</c:v>
                </c:pt>
                <c:pt idx="19">
                  <c:v>-84.39583333333303</c:v>
                </c:pt>
                <c:pt idx="20">
                  <c:v>-117.61805555555566</c:v>
                </c:pt>
                <c:pt idx="21">
                  <c:v>-84.42361111111131</c:v>
                </c:pt>
                <c:pt idx="22">
                  <c:v>-76.97222222222217</c:v>
                </c:pt>
                <c:pt idx="23">
                  <c:v>-45.270833333333485</c:v>
                </c:pt>
                <c:pt idx="24">
                  <c:v>-14.944444444444798</c:v>
                </c:pt>
                <c:pt idx="25">
                  <c:v>-32.94841269841254</c:v>
                </c:pt>
                <c:pt idx="26">
                  <c:v>-1.8273809523811906</c:v>
                </c:pt>
                <c:pt idx="27">
                  <c:v>19.67559523809541</c:v>
                </c:pt>
                <c:pt idx="28">
                  <c:v>42.845238095238074</c:v>
                </c:pt>
                <c:pt idx="29">
                  <c:v>98.20238095238119</c:v>
                </c:pt>
                <c:pt idx="30">
                  <c:v>130.85119047619037</c:v>
                </c:pt>
                <c:pt idx="31">
                  <c:v>-299.08333333333326</c:v>
                </c:pt>
                <c:pt idx="32">
                  <c:v>-318.08333333333326</c:v>
                </c:pt>
                <c:pt idx="33">
                  <c:v>-290.30555555555566</c:v>
                </c:pt>
                <c:pt idx="34">
                  <c:v>-282.1111111111111</c:v>
                </c:pt>
                <c:pt idx="35">
                  <c:v>-310.909090909091</c:v>
                </c:pt>
                <c:pt idx="36">
                  <c:v>-394.72727272727275</c:v>
                </c:pt>
              </c:numCache>
            </c:numRef>
          </c:val>
          <c:smooth val="0"/>
        </c:ser>
        <c:ser>
          <c:idx val="4"/>
          <c:order val="1"/>
          <c:tx>
            <c:v>Magi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Numbers!$T$9:$T$45</c:f>
              <c:numCache>
                <c:ptCount val="37"/>
                <c:pt idx="1">
                  <c:v>151.45454545454504</c:v>
                </c:pt>
                <c:pt idx="2">
                  <c:v>304.9818181818182</c:v>
                </c:pt>
                <c:pt idx="3">
                  <c:v>315.16060606060546</c:v>
                </c:pt>
                <c:pt idx="4">
                  <c:v>457.5254545454545</c:v>
                </c:pt>
                <c:pt idx="5">
                  <c:v>560.525036363636</c:v>
                </c:pt>
                <c:pt idx="6">
                  <c:v>308.01388888888914</c:v>
                </c:pt>
                <c:pt idx="7">
                  <c:v>314.59953703703695</c:v>
                </c:pt>
                <c:pt idx="8">
                  <c:v>354.875</c:v>
                </c:pt>
                <c:pt idx="9">
                  <c:v>406.2638888888887</c:v>
                </c:pt>
                <c:pt idx="10">
                  <c:v>486.9861111111113</c:v>
                </c:pt>
                <c:pt idx="11">
                  <c:v>500</c:v>
                </c:pt>
                <c:pt idx="12">
                  <c:v>199.125</c:v>
                </c:pt>
                <c:pt idx="13">
                  <c:v>227.41666666666652</c:v>
                </c:pt>
                <c:pt idx="14">
                  <c:v>263.375</c:v>
                </c:pt>
                <c:pt idx="15">
                  <c:v>283.2847222222222</c:v>
                </c:pt>
                <c:pt idx="16">
                  <c:v>227.97222222222217</c:v>
                </c:pt>
                <c:pt idx="17">
                  <c:v>164.9930555555552</c:v>
                </c:pt>
                <c:pt idx="18">
                  <c:v>163.8263888888887</c:v>
                </c:pt>
                <c:pt idx="19">
                  <c:v>162.10416666666697</c:v>
                </c:pt>
                <c:pt idx="20">
                  <c:v>175.63194444444434</c:v>
                </c:pt>
                <c:pt idx="21">
                  <c:v>195.5763888888887</c:v>
                </c:pt>
                <c:pt idx="22">
                  <c:v>231.02777777777783</c:v>
                </c:pt>
                <c:pt idx="23">
                  <c:v>280.7291666666665</c:v>
                </c:pt>
                <c:pt idx="24">
                  <c:v>175.0555555555552</c:v>
                </c:pt>
                <c:pt idx="25">
                  <c:v>146.05158730158746</c:v>
                </c:pt>
                <c:pt idx="26">
                  <c:v>99.17261904761881</c:v>
                </c:pt>
                <c:pt idx="27">
                  <c:v>42.67559523809541</c:v>
                </c:pt>
                <c:pt idx="28">
                  <c:v>-12.154761904761926</c:v>
                </c:pt>
                <c:pt idx="29">
                  <c:v>-44.79761904761881</c:v>
                </c:pt>
                <c:pt idx="30">
                  <c:v>-80.14880952380963</c:v>
                </c:pt>
                <c:pt idx="31">
                  <c:v>-139.08333333333326</c:v>
                </c:pt>
                <c:pt idx="32">
                  <c:v>-121.08333333333326</c:v>
                </c:pt>
                <c:pt idx="33">
                  <c:v>-82.30555555555566</c:v>
                </c:pt>
                <c:pt idx="34">
                  <c:v>-68.11111111111109</c:v>
                </c:pt>
                <c:pt idx="35">
                  <c:v>-80.90909090909099</c:v>
                </c:pt>
                <c:pt idx="36">
                  <c:v>-34.72727272727275</c:v>
                </c:pt>
              </c:numCache>
            </c:numRef>
          </c:val>
          <c:smooth val="0"/>
        </c:ser>
        <c:ser>
          <c:idx val="5"/>
          <c:order val="2"/>
          <c:tx>
            <c:v>SF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Numbers!$U$9:$U$45</c:f>
              <c:numCache>
                <c:ptCount val="37"/>
                <c:pt idx="1">
                  <c:v>834.454545454545</c:v>
                </c:pt>
                <c:pt idx="2">
                  <c:v>923.9818181818182</c:v>
                </c:pt>
                <c:pt idx="3">
                  <c:v>846.1606060606055</c:v>
                </c:pt>
                <c:pt idx="4">
                  <c:v>767.1454545454544</c:v>
                </c:pt>
                <c:pt idx="5">
                  <c:v>498.1996363636363</c:v>
                </c:pt>
                <c:pt idx="6">
                  <c:v>623.0138888888891</c:v>
                </c:pt>
                <c:pt idx="7">
                  <c:v>606.599537037037</c:v>
                </c:pt>
                <c:pt idx="8">
                  <c:v>582.875</c:v>
                </c:pt>
                <c:pt idx="9">
                  <c:v>514.2638888888887</c:v>
                </c:pt>
                <c:pt idx="10">
                  <c:v>557.9861111111113</c:v>
                </c:pt>
                <c:pt idx="11">
                  <c:v>473</c:v>
                </c:pt>
                <c:pt idx="12">
                  <c:v>222.125</c:v>
                </c:pt>
                <c:pt idx="13">
                  <c:v>212.41666666666652</c:v>
                </c:pt>
                <c:pt idx="14">
                  <c:v>240.875</c:v>
                </c:pt>
                <c:pt idx="15">
                  <c:v>275.2847222222222</c:v>
                </c:pt>
                <c:pt idx="16">
                  <c:v>256.4722222222222</c:v>
                </c:pt>
                <c:pt idx="17">
                  <c:v>229.9930555555552</c:v>
                </c:pt>
                <c:pt idx="18">
                  <c:v>229.0763888888887</c:v>
                </c:pt>
                <c:pt idx="19">
                  <c:v>233.60416666666697</c:v>
                </c:pt>
                <c:pt idx="20">
                  <c:v>155.38194444444434</c:v>
                </c:pt>
                <c:pt idx="21">
                  <c:v>-30.423611111111313</c:v>
                </c:pt>
                <c:pt idx="22">
                  <c:v>-67.97222222222217</c:v>
                </c:pt>
                <c:pt idx="23">
                  <c:v>-53.270833333333485</c:v>
                </c:pt>
                <c:pt idx="24">
                  <c:v>-205.9444444444448</c:v>
                </c:pt>
                <c:pt idx="25">
                  <c:v>-182.94841269841254</c:v>
                </c:pt>
                <c:pt idx="26">
                  <c:v>-169.8273809523812</c:v>
                </c:pt>
                <c:pt idx="27">
                  <c:v>-166.3244047619046</c:v>
                </c:pt>
                <c:pt idx="28">
                  <c:v>-179.15476190476193</c:v>
                </c:pt>
                <c:pt idx="29">
                  <c:v>-391.7976190476188</c:v>
                </c:pt>
                <c:pt idx="30">
                  <c:v>-376.14880952380963</c:v>
                </c:pt>
                <c:pt idx="31">
                  <c:v>-276.08333333333326</c:v>
                </c:pt>
                <c:pt idx="32">
                  <c:v>-223.08333333333326</c:v>
                </c:pt>
                <c:pt idx="33">
                  <c:v>-388.30555555555566</c:v>
                </c:pt>
                <c:pt idx="34">
                  <c:v>-373.1111111111111</c:v>
                </c:pt>
                <c:pt idx="35">
                  <c:v>-384.909090909091</c:v>
                </c:pt>
                <c:pt idx="36">
                  <c:v>-582.7272727272727</c:v>
                </c:pt>
              </c:numCache>
            </c:numRef>
          </c:val>
          <c:smooth val="0"/>
        </c:ser>
        <c:ser>
          <c:idx val="1"/>
          <c:order val="3"/>
          <c:tx>
            <c:v>Win</c:v>
          </c:tx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Numbers!$V$9:$V$45</c:f>
              <c:numCache>
                <c:ptCount val="37"/>
                <c:pt idx="1">
                  <c:v>-777.545454545455</c:v>
                </c:pt>
                <c:pt idx="2">
                  <c:v>-509.0181818181818</c:v>
                </c:pt>
                <c:pt idx="3">
                  <c:v>-449.33939393939454</c:v>
                </c:pt>
                <c:pt idx="4">
                  <c:v>-424.4745454545455</c:v>
                </c:pt>
                <c:pt idx="5">
                  <c:v>-333.724963636364</c:v>
                </c:pt>
                <c:pt idx="6">
                  <c:v>-233.48611111111086</c:v>
                </c:pt>
                <c:pt idx="7">
                  <c:v>-172.15046296296305</c:v>
                </c:pt>
                <c:pt idx="8">
                  <c:v>-92.125</c:v>
                </c:pt>
                <c:pt idx="9">
                  <c:v>-47.23611111111131</c:v>
                </c:pt>
                <c:pt idx="10">
                  <c:v>-11.013888888888687</c:v>
                </c:pt>
                <c:pt idx="11">
                  <c:v>20</c:v>
                </c:pt>
                <c:pt idx="12">
                  <c:v>-126.875</c:v>
                </c:pt>
                <c:pt idx="13">
                  <c:v>-112.91666666666697</c:v>
                </c:pt>
                <c:pt idx="14">
                  <c:v>-71.79166666666652</c:v>
                </c:pt>
                <c:pt idx="15">
                  <c:v>-46.71527777777783</c:v>
                </c:pt>
                <c:pt idx="16">
                  <c:v>-27.194444444444343</c:v>
                </c:pt>
                <c:pt idx="17">
                  <c:v>-15.340277777778283</c:v>
                </c:pt>
                <c:pt idx="18">
                  <c:v>-10.923611111111313</c:v>
                </c:pt>
                <c:pt idx="19">
                  <c:v>-7.062499999999545</c:v>
                </c:pt>
                <c:pt idx="20">
                  <c:v>12.048611111110858</c:v>
                </c:pt>
                <c:pt idx="21">
                  <c:v>37.57638888888869</c:v>
                </c:pt>
                <c:pt idx="22">
                  <c:v>37.36111111111131</c:v>
                </c:pt>
                <c:pt idx="23">
                  <c:v>51.39583333333303</c:v>
                </c:pt>
                <c:pt idx="24">
                  <c:v>134.0555555555552</c:v>
                </c:pt>
                <c:pt idx="25">
                  <c:v>174.76587301587324</c:v>
                </c:pt>
                <c:pt idx="26">
                  <c:v>194.60119047619037</c:v>
                </c:pt>
                <c:pt idx="27">
                  <c:v>204.8184523809523</c:v>
                </c:pt>
                <c:pt idx="28">
                  <c:v>216.7023809523812</c:v>
                </c:pt>
                <c:pt idx="29">
                  <c:v>250.77380952380963</c:v>
                </c:pt>
                <c:pt idx="30">
                  <c:v>282.1369047619046</c:v>
                </c:pt>
                <c:pt idx="31">
                  <c:v>360.91666666666674</c:v>
                </c:pt>
                <c:pt idx="32">
                  <c:v>379.91666666666674</c:v>
                </c:pt>
                <c:pt idx="33">
                  <c:v>415.69444444444434</c:v>
                </c:pt>
                <c:pt idx="34">
                  <c:v>426.8888888888889</c:v>
                </c:pt>
                <c:pt idx="35">
                  <c:v>411.090909090909</c:v>
                </c:pt>
                <c:pt idx="36">
                  <c:v>454.27272727272725</c:v>
                </c:pt>
              </c:numCache>
            </c:numRef>
          </c:val>
          <c:smooth val="0"/>
        </c:ser>
        <c:ser>
          <c:idx val="2"/>
          <c:order val="4"/>
          <c:tx>
            <c:v>Glas95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Numbers!$W$9:$W$45</c:f>
              <c:numCache>
                <c:ptCount val="37"/>
                <c:pt idx="1">
                  <c:v>737.454545454545</c:v>
                </c:pt>
                <c:pt idx="2">
                  <c:v>861.9818181818182</c:v>
                </c:pt>
                <c:pt idx="3">
                  <c:v>957.1606060606055</c:v>
                </c:pt>
                <c:pt idx="4">
                  <c:v>980.5254545454545</c:v>
                </c:pt>
                <c:pt idx="5">
                  <c:v>998.525036363636</c:v>
                </c:pt>
                <c:pt idx="6">
                  <c:v>1026.0138888888891</c:v>
                </c:pt>
                <c:pt idx="7">
                  <c:v>1014.599537037037</c:v>
                </c:pt>
                <c:pt idx="8">
                  <c:v>1021.875</c:v>
                </c:pt>
                <c:pt idx="9">
                  <c:v>1011.2638888888887</c:v>
                </c:pt>
                <c:pt idx="10">
                  <c:v>996.9861111111113</c:v>
                </c:pt>
                <c:pt idx="11">
                  <c:v>1020</c:v>
                </c:pt>
                <c:pt idx="12">
                  <c:v>1001.125</c:v>
                </c:pt>
                <c:pt idx="13">
                  <c:v>1007.75</c:v>
                </c:pt>
                <c:pt idx="14">
                  <c:v>1041.5416666666665</c:v>
                </c:pt>
                <c:pt idx="15">
                  <c:v>1059.2847222222222</c:v>
                </c:pt>
                <c:pt idx="16">
                  <c:v>1059.8055555555557</c:v>
                </c:pt>
                <c:pt idx="17">
                  <c:v>1052.6597222222217</c:v>
                </c:pt>
                <c:pt idx="18">
                  <c:v>1038.0763888888887</c:v>
                </c:pt>
                <c:pt idx="19">
                  <c:v>1030.604166666667</c:v>
                </c:pt>
                <c:pt idx="20">
                  <c:v>1042.3819444444443</c:v>
                </c:pt>
                <c:pt idx="21">
                  <c:v>1061.5763888888887</c:v>
                </c:pt>
                <c:pt idx="22">
                  <c:v>1056.0277777777778</c:v>
                </c:pt>
                <c:pt idx="23">
                  <c:v>1062.7291666666665</c:v>
                </c:pt>
                <c:pt idx="24">
                  <c:v>964.0555555555552</c:v>
                </c:pt>
                <c:pt idx="25">
                  <c:v>954.0515873015875</c:v>
                </c:pt>
                <c:pt idx="26">
                  <c:v>918.1726190476188</c:v>
                </c:pt>
                <c:pt idx="27">
                  <c:v>873.6755952380954</c:v>
                </c:pt>
                <c:pt idx="28">
                  <c:v>829.8452380952381</c:v>
                </c:pt>
                <c:pt idx="29">
                  <c:v>809.2023809523812</c:v>
                </c:pt>
                <c:pt idx="30">
                  <c:v>784.8511904761904</c:v>
                </c:pt>
                <c:pt idx="31">
                  <c:v>808.9166666666667</c:v>
                </c:pt>
                <c:pt idx="32">
                  <c:v>787.9166666666667</c:v>
                </c:pt>
                <c:pt idx="33">
                  <c:v>784.6944444444443</c:v>
                </c:pt>
                <c:pt idx="34">
                  <c:v>755.8888888888889</c:v>
                </c:pt>
                <c:pt idx="35">
                  <c:v>701.090909090909</c:v>
                </c:pt>
                <c:pt idx="36">
                  <c:v>704.2727272727273</c:v>
                </c:pt>
              </c:numCache>
            </c:numRef>
          </c:val>
          <c:smooth val="0"/>
        </c:ser>
        <c:ser>
          <c:idx val="3"/>
          <c:order val="5"/>
          <c:tx>
            <c:v>TX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Numbers!$Y$9:$Y$45</c:f>
              <c:numCache>
                <c:ptCount val="37"/>
                <c:pt idx="1">
                  <c:v>-791.545454545455</c:v>
                </c:pt>
                <c:pt idx="2">
                  <c:v>-1086.0181818181818</c:v>
                </c:pt>
                <c:pt idx="3">
                  <c:v>-1009.506060606061</c:v>
                </c:pt>
                <c:pt idx="4">
                  <c:v>-1004.4745454545455</c:v>
                </c:pt>
                <c:pt idx="5">
                  <c:v>-921.474963636364</c:v>
                </c:pt>
                <c:pt idx="6">
                  <c:v>-833.6527777777774</c:v>
                </c:pt>
                <c:pt idx="7">
                  <c:v>-789.8449074074074</c:v>
                </c:pt>
                <c:pt idx="8">
                  <c:v>-717.125</c:v>
                </c:pt>
                <c:pt idx="9">
                  <c:v>-682.7361111111113</c:v>
                </c:pt>
                <c:pt idx="10">
                  <c:v>-657.0138888888887</c:v>
                </c:pt>
                <c:pt idx="11">
                  <c:v>-694</c:v>
                </c:pt>
                <c:pt idx="12">
                  <c:v>-476.875</c:v>
                </c:pt>
                <c:pt idx="13">
                  <c:v>-533.5833333333335</c:v>
                </c:pt>
                <c:pt idx="14">
                  <c:v>-563.125</c:v>
                </c:pt>
                <c:pt idx="15">
                  <c:v>-538.1319444444443</c:v>
                </c:pt>
                <c:pt idx="16">
                  <c:v>-530.3611111111113</c:v>
                </c:pt>
                <c:pt idx="17">
                  <c:v>-530.2569444444448</c:v>
                </c:pt>
                <c:pt idx="18">
                  <c:v>-537.5902777777778</c:v>
                </c:pt>
                <c:pt idx="19">
                  <c:v>-545.4791666666665</c:v>
                </c:pt>
                <c:pt idx="20">
                  <c:v>-538.1180555555557</c:v>
                </c:pt>
                <c:pt idx="21">
                  <c:v>-524.340277777778</c:v>
                </c:pt>
                <c:pt idx="22">
                  <c:v>-536.3055555555554</c:v>
                </c:pt>
                <c:pt idx="23">
                  <c:v>-534.0208333333335</c:v>
                </c:pt>
                <c:pt idx="24">
                  <c:v>-463.11111111111154</c:v>
                </c:pt>
                <c:pt idx="25">
                  <c:v>-440.5317460317458</c:v>
                </c:pt>
                <c:pt idx="26">
                  <c:v>-438.8273809523812</c:v>
                </c:pt>
                <c:pt idx="27">
                  <c:v>-435.3244047619046</c:v>
                </c:pt>
                <c:pt idx="28">
                  <c:v>-414.1547619047619</c:v>
                </c:pt>
                <c:pt idx="29">
                  <c:v>-368.7976190476188</c:v>
                </c:pt>
                <c:pt idx="30">
                  <c:v>-323.64880952380963</c:v>
                </c:pt>
                <c:pt idx="31">
                  <c:v>-231.08333333333326</c:v>
                </c:pt>
                <c:pt idx="32">
                  <c:v>-202.08333333333326</c:v>
                </c:pt>
                <c:pt idx="33">
                  <c:v>-195.30555555555566</c:v>
                </c:pt>
                <c:pt idx="34">
                  <c:v>-205.1111111111111</c:v>
                </c:pt>
                <c:pt idx="35">
                  <c:v>-228.909090909091</c:v>
                </c:pt>
                <c:pt idx="36">
                  <c:v>-207.72727272727275</c:v>
                </c:pt>
              </c:numCache>
            </c:numRef>
          </c:val>
          <c:smooth val="0"/>
        </c:ser>
        <c:ser>
          <c:idx val="7"/>
          <c:order val="6"/>
          <c:tx>
            <c:v>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Numbers!$X$9:$X$45</c:f>
              <c:numCache>
                <c:ptCount val="37"/>
                <c:pt idx="1">
                  <c:v>91.45454545454504</c:v>
                </c:pt>
                <c:pt idx="2">
                  <c:v>-66.0181818181818</c:v>
                </c:pt>
                <c:pt idx="3">
                  <c:v>-187.83939393939454</c:v>
                </c:pt>
                <c:pt idx="4">
                  <c:v>-228.47454545454548</c:v>
                </c:pt>
                <c:pt idx="5">
                  <c:v>-274.474963636364</c:v>
                </c:pt>
                <c:pt idx="6">
                  <c:v>-215.98611111111086</c:v>
                </c:pt>
                <c:pt idx="7">
                  <c:v>-164.40046296296305</c:v>
                </c:pt>
                <c:pt idx="8">
                  <c:v>-271.125</c:v>
                </c:pt>
                <c:pt idx="9">
                  <c:v>-348.7361111111113</c:v>
                </c:pt>
                <c:pt idx="10">
                  <c:v>-323.0138888888887</c:v>
                </c:pt>
                <c:pt idx="11">
                  <c:v>-331</c:v>
                </c:pt>
                <c:pt idx="12">
                  <c:v>-154.875</c:v>
                </c:pt>
                <c:pt idx="13">
                  <c:v>-132.58333333333348</c:v>
                </c:pt>
                <c:pt idx="14">
                  <c:v>-315.125</c:v>
                </c:pt>
                <c:pt idx="15">
                  <c:v>-455.7152777777778</c:v>
                </c:pt>
                <c:pt idx="16">
                  <c:v>-507.5277777777778</c:v>
                </c:pt>
                <c:pt idx="17">
                  <c:v>-507.0069444444448</c:v>
                </c:pt>
                <c:pt idx="18">
                  <c:v>-498.9236111111113</c:v>
                </c:pt>
                <c:pt idx="19">
                  <c:v>-491.39583333333303</c:v>
                </c:pt>
                <c:pt idx="20">
                  <c:v>-468.61805555555566</c:v>
                </c:pt>
                <c:pt idx="21">
                  <c:v>-439.4236111111113</c:v>
                </c:pt>
                <c:pt idx="22">
                  <c:v>-453.30555555555543</c:v>
                </c:pt>
                <c:pt idx="23">
                  <c:v>-452.9375000000002</c:v>
                </c:pt>
                <c:pt idx="24">
                  <c:v>-383.9444444444448</c:v>
                </c:pt>
                <c:pt idx="25">
                  <c:v>-396.69841269841254</c:v>
                </c:pt>
                <c:pt idx="26">
                  <c:v>-430.3273809523812</c:v>
                </c:pt>
                <c:pt idx="27">
                  <c:v>-473.5744047619046</c:v>
                </c:pt>
                <c:pt idx="28">
                  <c:v>-515.1547619047619</c:v>
                </c:pt>
                <c:pt idx="29">
                  <c:v>-467.7976190476188</c:v>
                </c:pt>
                <c:pt idx="30">
                  <c:v>-433.14880952380963</c:v>
                </c:pt>
                <c:pt idx="31">
                  <c:v>-341.08333333333326</c:v>
                </c:pt>
                <c:pt idx="32">
                  <c:v>-293.08333333333326</c:v>
                </c:pt>
                <c:pt idx="33">
                  <c:v>-226.30555555555566</c:v>
                </c:pt>
                <c:pt idx="34">
                  <c:v>-211.1111111111111</c:v>
                </c:pt>
              </c:numCache>
            </c:numRef>
          </c:val>
          <c:smooth val="0"/>
        </c:ser>
        <c:marker val="1"/>
        <c:axId val="24902433"/>
        <c:axId val="22795306"/>
      </c:lineChart>
      <c:lineChart>
        <c:grouping val="standard"/>
        <c:varyColors val="0"/>
        <c:ser>
          <c:idx val="8"/>
          <c:order val="7"/>
          <c:tx>
            <c:v>Balt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Numbers!$Z$9:$Z$45</c:f>
              <c:numCache>
                <c:ptCount val="37"/>
                <c:pt idx="1">
                  <c:v>-254.54545454545496</c:v>
                </c:pt>
                <c:pt idx="2">
                  <c:v>-56.81818181818198</c:v>
                </c:pt>
                <c:pt idx="3">
                  <c:v>-125.4393939393949</c:v>
                </c:pt>
                <c:pt idx="4">
                  <c:v>-228.87454545454557</c:v>
                </c:pt>
                <c:pt idx="5">
                  <c:v>-337.6749636363638</c:v>
                </c:pt>
                <c:pt idx="6">
                  <c:v>-436.98611111111086</c:v>
                </c:pt>
                <c:pt idx="7">
                  <c:v>-411.40046296296305</c:v>
                </c:pt>
                <c:pt idx="8">
                  <c:v>-376.125</c:v>
                </c:pt>
                <c:pt idx="9">
                  <c:v>-371.7361111111113</c:v>
                </c:pt>
                <c:pt idx="10">
                  <c:v>-466.0138888888887</c:v>
                </c:pt>
                <c:pt idx="11">
                  <c:v>-523</c:v>
                </c:pt>
                <c:pt idx="12">
                  <c:v>-226.875</c:v>
                </c:pt>
                <c:pt idx="13">
                  <c:v>-204.58333333333348</c:v>
                </c:pt>
                <c:pt idx="14">
                  <c:v>-155.125</c:v>
                </c:pt>
                <c:pt idx="15">
                  <c:v>-105.71527777777783</c:v>
                </c:pt>
                <c:pt idx="16">
                  <c:v>-78.52777777777783</c:v>
                </c:pt>
                <c:pt idx="17">
                  <c:v>-59.0069444444448</c:v>
                </c:pt>
                <c:pt idx="18">
                  <c:v>-46.92361111111131</c:v>
                </c:pt>
                <c:pt idx="19">
                  <c:v>-35.39583333333303</c:v>
                </c:pt>
                <c:pt idx="20">
                  <c:v>-8.618055555555657</c:v>
                </c:pt>
                <c:pt idx="21">
                  <c:v>42.57638888888869</c:v>
                </c:pt>
                <c:pt idx="22">
                  <c:v>68.02777777777783</c:v>
                </c:pt>
                <c:pt idx="23">
                  <c:v>39.729166666666515</c:v>
                </c:pt>
                <c:pt idx="24">
                  <c:v>-194.9444444444448</c:v>
                </c:pt>
                <c:pt idx="25">
                  <c:v>-165.94841269841254</c:v>
                </c:pt>
                <c:pt idx="26">
                  <c:v>-149.8273809523812</c:v>
                </c:pt>
                <c:pt idx="27">
                  <c:v>-143.3244047619046</c:v>
                </c:pt>
                <c:pt idx="28">
                  <c:v>-135.15476190476193</c:v>
                </c:pt>
                <c:pt idx="29">
                  <c:v>-104.79761904761881</c:v>
                </c:pt>
                <c:pt idx="30">
                  <c:v>-77.14880952380963</c:v>
                </c:pt>
                <c:pt idx="31">
                  <c:v>-88.08333333333326</c:v>
                </c:pt>
                <c:pt idx="32">
                  <c:v>-104.08333333333326</c:v>
                </c:pt>
                <c:pt idx="33">
                  <c:v>-109.63888888888891</c:v>
                </c:pt>
                <c:pt idx="34">
                  <c:v>-139.77777777777783</c:v>
                </c:pt>
                <c:pt idx="35">
                  <c:v>-196.909090909091</c:v>
                </c:pt>
                <c:pt idx="36">
                  <c:v>-116.72727272727275</c:v>
                </c:pt>
              </c:numCache>
            </c:numRef>
          </c:val>
          <c:smooth val="0"/>
        </c:ser>
        <c:ser>
          <c:idx val="6"/>
          <c:order val="8"/>
          <c:tx>
            <c:v>C2K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Numbers!$S$9:$S$45</c:f>
              <c:numCache>
                <c:ptCount val="37"/>
                <c:pt idx="1">
                  <c:v>-160.54545454545496</c:v>
                </c:pt>
                <c:pt idx="2">
                  <c:v>6.981818181818198</c:v>
                </c:pt>
                <c:pt idx="3">
                  <c:v>60.16060606060546</c:v>
                </c:pt>
                <c:pt idx="4">
                  <c:v>187.52545454545452</c:v>
                </c:pt>
                <c:pt idx="5">
                  <c:v>202.525036363636</c:v>
                </c:pt>
                <c:pt idx="6">
                  <c:v>167.01388888888914</c:v>
                </c:pt>
                <c:pt idx="7">
                  <c:v>240.59953703703695</c:v>
                </c:pt>
                <c:pt idx="8">
                  <c:v>224.875</c:v>
                </c:pt>
                <c:pt idx="9">
                  <c:v>64.26388888888869</c:v>
                </c:pt>
                <c:pt idx="10">
                  <c:v>-143.0138888888887</c:v>
                </c:pt>
                <c:pt idx="11">
                  <c:v>-118</c:v>
                </c:pt>
                <c:pt idx="12">
                  <c:v>105.125</c:v>
                </c:pt>
                <c:pt idx="13">
                  <c:v>123.41666666666652</c:v>
                </c:pt>
                <c:pt idx="14">
                  <c:v>-34.125</c:v>
                </c:pt>
                <c:pt idx="15">
                  <c:v>-83.71527777777783</c:v>
                </c:pt>
                <c:pt idx="16">
                  <c:v>-94.52777777777783</c:v>
                </c:pt>
                <c:pt idx="17">
                  <c:v>-80.0069444444448</c:v>
                </c:pt>
                <c:pt idx="18">
                  <c:v>-72.92361111111131</c:v>
                </c:pt>
                <c:pt idx="19">
                  <c:v>-52.39583333333303</c:v>
                </c:pt>
                <c:pt idx="20">
                  <c:v>-105.61805555555566</c:v>
                </c:pt>
                <c:pt idx="21">
                  <c:v>-226.4236111111113</c:v>
                </c:pt>
                <c:pt idx="22">
                  <c:v>-248.97222222222217</c:v>
                </c:pt>
                <c:pt idx="23">
                  <c:v>-221.27083333333348</c:v>
                </c:pt>
                <c:pt idx="24">
                  <c:v>-269.9444444444448</c:v>
                </c:pt>
                <c:pt idx="25">
                  <c:v>-209.94841269841254</c:v>
                </c:pt>
                <c:pt idx="26">
                  <c:v>-178.8273809523812</c:v>
                </c:pt>
                <c:pt idx="27">
                  <c:v>-152.3244047619046</c:v>
                </c:pt>
                <c:pt idx="28">
                  <c:v>-131.15476190476193</c:v>
                </c:pt>
                <c:pt idx="29">
                  <c:v>-78.79761904761881</c:v>
                </c:pt>
                <c:pt idx="30">
                  <c:v>-32.14880952380963</c:v>
                </c:pt>
                <c:pt idx="31">
                  <c:v>55.91666666666674</c:v>
                </c:pt>
                <c:pt idx="32">
                  <c:v>2.9166666666667425</c:v>
                </c:pt>
                <c:pt idx="33">
                  <c:v>-82.30555555555566</c:v>
                </c:pt>
                <c:pt idx="34">
                  <c:v>-102.11111111111109</c:v>
                </c:pt>
                <c:pt idx="35">
                  <c:v>-87.90909090909099</c:v>
                </c:pt>
                <c:pt idx="36">
                  <c:v>-214.72727272727275</c:v>
                </c:pt>
              </c:numCache>
            </c:numRef>
          </c:val>
          <c:smooth val="0"/>
        </c:ser>
        <c:ser>
          <c:idx val="10"/>
          <c:order val="9"/>
          <c:tx>
            <c:v>Philly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Numbers!$AA$9:$AA$45</c:f>
              <c:numCache>
                <c:ptCount val="37"/>
                <c:pt idx="1">
                  <c:v>3.454545454545041</c:v>
                </c:pt>
                <c:pt idx="2">
                  <c:v>-551.0181818181818</c:v>
                </c:pt>
                <c:pt idx="3">
                  <c:v>-610.8393939393945</c:v>
                </c:pt>
                <c:pt idx="4">
                  <c:v>-727.4745454545455</c:v>
                </c:pt>
                <c:pt idx="5">
                  <c:v>-732.474963636364</c:v>
                </c:pt>
                <c:pt idx="6">
                  <c:v>-665.9861111111109</c:v>
                </c:pt>
                <c:pt idx="7">
                  <c:v>-608.400462962963</c:v>
                </c:pt>
                <c:pt idx="8">
                  <c:v>-564.125</c:v>
                </c:pt>
                <c:pt idx="9">
                  <c:v>-492.7361111111113</c:v>
                </c:pt>
                <c:pt idx="10">
                  <c:v>-454.0138888888887</c:v>
                </c:pt>
                <c:pt idx="11">
                  <c:v>-464</c:v>
                </c:pt>
                <c:pt idx="12">
                  <c:v>-456.875</c:v>
                </c:pt>
                <c:pt idx="13">
                  <c:v>-448.5833333333335</c:v>
                </c:pt>
                <c:pt idx="14">
                  <c:v>-294.125</c:v>
                </c:pt>
                <c:pt idx="15">
                  <c:v>-341.7152777777778</c:v>
                </c:pt>
                <c:pt idx="16">
                  <c:v>-326.5277777777778</c:v>
                </c:pt>
                <c:pt idx="17">
                  <c:v>-332.0069444444448</c:v>
                </c:pt>
                <c:pt idx="18">
                  <c:v>-358.9236111111113</c:v>
                </c:pt>
                <c:pt idx="19">
                  <c:v>-330.39583333333303</c:v>
                </c:pt>
                <c:pt idx="20">
                  <c:v>-295.61805555555566</c:v>
                </c:pt>
                <c:pt idx="21">
                  <c:v>-251.4236111111113</c:v>
                </c:pt>
                <c:pt idx="22">
                  <c:v>-268.9722222222222</c:v>
                </c:pt>
                <c:pt idx="23">
                  <c:v>-236.27083333333348</c:v>
                </c:pt>
                <c:pt idx="24">
                  <c:v>-212.9444444444448</c:v>
                </c:pt>
                <c:pt idx="25">
                  <c:v>-174.94841269841254</c:v>
                </c:pt>
                <c:pt idx="26">
                  <c:v>-147.8273809523812</c:v>
                </c:pt>
                <c:pt idx="27">
                  <c:v>-125.32440476190459</c:v>
                </c:pt>
                <c:pt idx="28">
                  <c:v>-102.15476190476193</c:v>
                </c:pt>
                <c:pt idx="29">
                  <c:v>-196.7976190476188</c:v>
                </c:pt>
                <c:pt idx="30">
                  <c:v>-241.14880952380963</c:v>
                </c:pt>
                <c:pt idx="31">
                  <c:v>-201.08333333333326</c:v>
                </c:pt>
                <c:pt idx="32">
                  <c:v>-205.08333333333326</c:v>
                </c:pt>
                <c:pt idx="33">
                  <c:v>-174.30555555555566</c:v>
                </c:pt>
                <c:pt idx="34">
                  <c:v>-217.1111111111111</c:v>
                </c:pt>
                <c:pt idx="35">
                  <c:v>-208.909090909091</c:v>
                </c:pt>
                <c:pt idx="36">
                  <c:v>-170.72727272727275</c:v>
                </c:pt>
              </c:numCache>
            </c:numRef>
          </c:val>
          <c:smooth val="0"/>
        </c:ser>
        <c:ser>
          <c:idx val="11"/>
          <c:order val="10"/>
          <c:tx>
            <c:v>Torcon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Numbers!$AB$9:$AB$45</c:f>
              <c:numCache>
                <c:ptCount val="37"/>
                <c:pt idx="1">
                  <c:v>-878.545454545455</c:v>
                </c:pt>
                <c:pt idx="2">
                  <c:v>-663.0181818181818</c:v>
                </c:pt>
                <c:pt idx="3">
                  <c:v>-582.8393939393945</c:v>
                </c:pt>
                <c:pt idx="4">
                  <c:v>-524.4745454545455</c:v>
                </c:pt>
                <c:pt idx="5">
                  <c:v>-438.474963636364</c:v>
                </c:pt>
                <c:pt idx="6">
                  <c:v>-344.98611111111086</c:v>
                </c:pt>
                <c:pt idx="7">
                  <c:v>-347.40046296296305</c:v>
                </c:pt>
                <c:pt idx="8">
                  <c:v>-415.125</c:v>
                </c:pt>
                <c:pt idx="9">
                  <c:v>-352.4027777777778</c:v>
                </c:pt>
                <c:pt idx="10">
                  <c:v>-420.8472222222222</c:v>
                </c:pt>
                <c:pt idx="11">
                  <c:v>-307</c:v>
                </c:pt>
                <c:pt idx="12">
                  <c:v>-102.375</c:v>
                </c:pt>
                <c:pt idx="13">
                  <c:v>-171.58333333333348</c:v>
                </c:pt>
                <c:pt idx="14">
                  <c:v>-159.125</c:v>
                </c:pt>
                <c:pt idx="15">
                  <c:v>-185.71527777777783</c:v>
                </c:pt>
                <c:pt idx="16">
                  <c:v>-175.52777777777783</c:v>
                </c:pt>
                <c:pt idx="17">
                  <c:v>-168.0069444444448</c:v>
                </c:pt>
                <c:pt idx="18">
                  <c:v>-162.9236111111113</c:v>
                </c:pt>
                <c:pt idx="19">
                  <c:v>-177.39583333333303</c:v>
                </c:pt>
                <c:pt idx="20">
                  <c:v>-179.61805555555566</c:v>
                </c:pt>
                <c:pt idx="21">
                  <c:v>-146.4236111111113</c:v>
                </c:pt>
                <c:pt idx="22">
                  <c:v>-127.97222222222217</c:v>
                </c:pt>
                <c:pt idx="23">
                  <c:v>-312.2708333333335</c:v>
                </c:pt>
                <c:pt idx="24">
                  <c:v>0.05555555555520186</c:v>
                </c:pt>
                <c:pt idx="25">
                  <c:v>-146.94841269841254</c:v>
                </c:pt>
                <c:pt idx="26">
                  <c:v>-128.8273809523812</c:v>
                </c:pt>
                <c:pt idx="27">
                  <c:v>-97.32440476190459</c:v>
                </c:pt>
                <c:pt idx="28">
                  <c:v>-74.15476190476193</c:v>
                </c:pt>
                <c:pt idx="29">
                  <c:v>-19.79761904761881</c:v>
                </c:pt>
                <c:pt idx="30">
                  <c:v>-82.14880952380963</c:v>
                </c:pt>
                <c:pt idx="31">
                  <c:v>-47.08333333333326</c:v>
                </c:pt>
                <c:pt idx="32">
                  <c:v>-10.083333333333258</c:v>
                </c:pt>
                <c:pt idx="33">
                  <c:v>40.69444444444434</c:v>
                </c:pt>
                <c:pt idx="34">
                  <c:v>84.88888888888891</c:v>
                </c:pt>
                <c:pt idx="35">
                  <c:v>67.09090909090901</c:v>
                </c:pt>
                <c:pt idx="36">
                  <c:v>163.27272727272725</c:v>
                </c:pt>
              </c:numCache>
            </c:numRef>
          </c:val>
          <c:smooth val="0"/>
        </c:ser>
        <c:ser>
          <c:idx val="9"/>
          <c:order val="11"/>
          <c:tx>
            <c:v>N4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Numbers!$AC$9:$AC$45</c:f>
              <c:numCache>
                <c:ptCount val="37"/>
                <c:pt idx="6">
                  <c:v>266.01388888888914</c:v>
                </c:pt>
                <c:pt idx="7">
                  <c:v>112.59953703703695</c:v>
                </c:pt>
                <c:pt idx="8">
                  <c:v>124.375</c:v>
                </c:pt>
                <c:pt idx="9">
                  <c:v>118.26388888888869</c:v>
                </c:pt>
                <c:pt idx="10">
                  <c:v>205.9861111111113</c:v>
                </c:pt>
                <c:pt idx="11">
                  <c:v>244</c:v>
                </c:pt>
                <c:pt idx="12">
                  <c:v>150.125</c:v>
                </c:pt>
                <c:pt idx="13">
                  <c:v>172.41666666666652</c:v>
                </c:pt>
                <c:pt idx="14">
                  <c:v>225.875</c:v>
                </c:pt>
                <c:pt idx="15">
                  <c:v>284.2847222222222</c:v>
                </c:pt>
                <c:pt idx="16">
                  <c:v>323.4722222222222</c:v>
                </c:pt>
                <c:pt idx="17">
                  <c:v>351.9930555555552</c:v>
                </c:pt>
                <c:pt idx="18">
                  <c:v>354.0763888888887</c:v>
                </c:pt>
                <c:pt idx="19">
                  <c:v>297.60416666666697</c:v>
                </c:pt>
                <c:pt idx="20">
                  <c:v>328.38194444444434</c:v>
                </c:pt>
                <c:pt idx="21">
                  <c:v>365.5763888888887</c:v>
                </c:pt>
                <c:pt idx="22">
                  <c:v>388.0277777777778</c:v>
                </c:pt>
                <c:pt idx="23">
                  <c:v>420.7291666666665</c:v>
                </c:pt>
                <c:pt idx="24">
                  <c:v>472.5555555555552</c:v>
                </c:pt>
                <c:pt idx="25">
                  <c:v>476.05158730158746</c:v>
                </c:pt>
                <c:pt idx="26">
                  <c:v>434.1726190476188</c:v>
                </c:pt>
                <c:pt idx="27">
                  <c:v>452.6755952380954</c:v>
                </c:pt>
                <c:pt idx="28">
                  <c:v>473.8452380952381</c:v>
                </c:pt>
                <c:pt idx="29">
                  <c:v>515.2023809523812</c:v>
                </c:pt>
                <c:pt idx="30">
                  <c:v>447.85119047619037</c:v>
                </c:pt>
                <c:pt idx="31">
                  <c:v>396.91666666666674</c:v>
                </c:pt>
                <c:pt idx="32">
                  <c:v>305.91666666666674</c:v>
                </c:pt>
                <c:pt idx="33">
                  <c:v>307.69444444444434</c:v>
                </c:pt>
                <c:pt idx="34">
                  <c:v>330.8888888888889</c:v>
                </c:pt>
                <c:pt idx="35">
                  <c:v>320.090909090909</c:v>
                </c:pt>
                <c:pt idx="36">
                  <c:v>400.27272727272725</c:v>
                </c:pt>
              </c:numCache>
            </c:numRef>
          </c:val>
          <c:smooth val="0"/>
        </c:ser>
        <c:ser>
          <c:idx val="12"/>
          <c:order val="12"/>
          <c:tx>
            <c:v>Glas05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Numbers!$AD$11:$AD$45</c:f>
              <c:numCache>
                <c:ptCount val="35"/>
                <c:pt idx="25">
                  <c:v>-379.3244047619046</c:v>
                </c:pt>
                <c:pt idx="26">
                  <c:v>-482.4880952380952</c:v>
                </c:pt>
                <c:pt idx="27">
                  <c:v>-563.4642857142856</c:v>
                </c:pt>
                <c:pt idx="28">
                  <c:v>-647.1488095238096</c:v>
                </c:pt>
                <c:pt idx="29">
                  <c:v>-573.4166666666665</c:v>
                </c:pt>
                <c:pt idx="30">
                  <c:v>-543.75</c:v>
                </c:pt>
                <c:pt idx="31">
                  <c:v>-497.30555555555566</c:v>
                </c:pt>
              </c:numCache>
            </c:numRef>
          </c:val>
          <c:smooth val="0"/>
        </c:ser>
        <c:marker val="1"/>
        <c:axId val="3831163"/>
        <c:axId val="34480468"/>
      </c:lineChart>
      <c:catAx>
        <c:axId val="2490243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22795306"/>
        <c:crosses val="autoZero"/>
        <c:auto val="0"/>
        <c:lblOffset val="100"/>
        <c:tickLblSkip val="6"/>
        <c:noMultiLvlLbl val="0"/>
      </c:catAx>
      <c:valAx>
        <c:axId val="2279530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4902433"/>
        <c:crossesAt val="1"/>
        <c:crossBetween val="midCat"/>
        <c:dispUnits/>
      </c:valAx>
      <c:catAx>
        <c:axId val="3831163"/>
        <c:scaling>
          <c:orientation val="maxMin"/>
        </c:scaling>
        <c:axPos val="b"/>
        <c:delete val="1"/>
        <c:majorTickMark val="in"/>
        <c:minorTickMark val="none"/>
        <c:tickLblPos val="nextTo"/>
        <c:crossAx val="34480468"/>
        <c:crosses val="autoZero"/>
        <c:auto val="0"/>
        <c:lblOffset val="100"/>
        <c:noMultiLvlLbl val="0"/>
      </c:catAx>
      <c:valAx>
        <c:axId val="34480468"/>
        <c:scaling>
          <c:orientation val="minMax"/>
        </c:scaling>
        <c:axPos val="r"/>
        <c:delete val="1"/>
        <c:majorTickMark val="in"/>
        <c:minorTickMark val="none"/>
        <c:tickLblPos val="nextTo"/>
        <c:crossAx val="3831163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"/>
          <c:y val="0.05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Rate of receipt of new memberships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65"/>
          <c:w val="0.882"/>
          <c:h val="0.85475"/>
        </c:manualLayout>
      </c:layout>
      <c:lineChart>
        <c:grouping val="standard"/>
        <c:varyColors val="0"/>
        <c:ser>
          <c:idx val="0"/>
          <c:order val="0"/>
          <c:tx>
            <c:v>Average monthly memberships 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Numbers!$A$10:$A$45</c:f>
              <c:strCache>
                <c:ptCount val="36"/>
                <c:pt idx="0">
                  <c:v>32324</c:v>
                </c:pt>
                <c:pt idx="1">
                  <c:v>32294</c:v>
                </c:pt>
                <c:pt idx="2">
                  <c:v>32263</c:v>
                </c:pt>
                <c:pt idx="3">
                  <c:v>32233</c:v>
                </c:pt>
                <c:pt idx="4">
                  <c:v>32202</c:v>
                </c:pt>
                <c:pt idx="5">
                  <c:v>32174</c:v>
                </c:pt>
                <c:pt idx="6">
                  <c:v>32143</c:v>
                </c:pt>
                <c:pt idx="7">
                  <c:v>32112</c:v>
                </c:pt>
                <c:pt idx="8">
                  <c:v>32082</c:v>
                </c:pt>
                <c:pt idx="9">
                  <c:v>32051</c:v>
                </c:pt>
                <c:pt idx="10">
                  <c:v>32021</c:v>
                </c:pt>
                <c:pt idx="11">
                  <c:v>31990</c:v>
                </c:pt>
                <c:pt idx="12">
                  <c:v>31959</c:v>
                </c:pt>
                <c:pt idx="13">
                  <c:v>31929</c:v>
                </c:pt>
                <c:pt idx="14">
                  <c:v>31898</c:v>
                </c:pt>
                <c:pt idx="15">
                  <c:v>31868</c:v>
                </c:pt>
                <c:pt idx="16">
                  <c:v>31837</c:v>
                </c:pt>
                <c:pt idx="17">
                  <c:v>31808</c:v>
                </c:pt>
                <c:pt idx="18">
                  <c:v>31777</c:v>
                </c:pt>
                <c:pt idx="19">
                  <c:v>31746</c:v>
                </c:pt>
                <c:pt idx="20">
                  <c:v>31716</c:v>
                </c:pt>
                <c:pt idx="21">
                  <c:v>31685</c:v>
                </c:pt>
                <c:pt idx="22">
                  <c:v>31655</c:v>
                </c:pt>
                <c:pt idx="23">
                  <c:v>31624</c:v>
                </c:pt>
                <c:pt idx="24">
                  <c:v>31593</c:v>
                </c:pt>
                <c:pt idx="25">
                  <c:v>31563</c:v>
                </c:pt>
                <c:pt idx="26">
                  <c:v>31532</c:v>
                </c:pt>
                <c:pt idx="27">
                  <c:v>31502</c:v>
                </c:pt>
                <c:pt idx="28">
                  <c:v>31471</c:v>
                </c:pt>
                <c:pt idx="29">
                  <c:v>31443</c:v>
                </c:pt>
                <c:pt idx="30">
                  <c:v>31412</c:v>
                </c:pt>
                <c:pt idx="31">
                  <c:v>31381</c:v>
                </c:pt>
                <c:pt idx="32">
                  <c:v>31351</c:v>
                </c:pt>
                <c:pt idx="33">
                  <c:v>31320</c:v>
                </c:pt>
                <c:pt idx="34">
                  <c:v>31290</c:v>
                </c:pt>
                <c:pt idx="35">
                  <c:v>31259</c:v>
                </c:pt>
              </c:strCache>
            </c:strRef>
          </c:cat>
          <c:val>
            <c:numRef>
              <c:f>Numbers!$AE$10:$AE$45</c:f>
              <c:numCache>
                <c:ptCount val="36"/>
                <c:pt idx="0">
                  <c:v>479.52727272727316</c:v>
                </c:pt>
                <c:pt idx="1">
                  <c:v>213.49873737373673</c:v>
                </c:pt>
                <c:pt idx="2">
                  <c:v>169.25111111111164</c:v>
                </c:pt>
                <c:pt idx="3">
                  <c:v>164.33294999999998</c:v>
                </c:pt>
                <c:pt idx="4">
                  <c:v>199.9492722222226</c:v>
                </c:pt>
                <c:pt idx="5">
                  <c:v>143.5856481481478</c:v>
                </c:pt>
                <c:pt idx="6">
                  <c:v>162.27546296296305</c:v>
                </c:pt>
                <c:pt idx="7">
                  <c:v>144.3888888888887</c:v>
                </c:pt>
                <c:pt idx="8">
                  <c:v>135.72222222222263</c:v>
                </c:pt>
                <c:pt idx="9">
                  <c:v>73.01388888888869</c:v>
                </c:pt>
                <c:pt idx="10">
                  <c:v>327.125</c:v>
                </c:pt>
                <c:pt idx="11">
                  <c:v>53.291666666666515</c:v>
                </c:pt>
                <c:pt idx="12">
                  <c:v>80.45833333333348</c:v>
                </c:pt>
                <c:pt idx="13">
                  <c:v>64.40972222222217</c:v>
                </c:pt>
                <c:pt idx="14">
                  <c:v>47.1875</c:v>
                </c:pt>
                <c:pt idx="15">
                  <c:v>39.52083333333303</c:v>
                </c:pt>
                <c:pt idx="16">
                  <c:v>32.083333333333485</c:v>
                </c:pt>
                <c:pt idx="17">
                  <c:v>31.527777777778283</c:v>
                </c:pt>
                <c:pt idx="18">
                  <c:v>46.777777777777374</c:v>
                </c:pt>
                <c:pt idx="19">
                  <c:v>53.19444444444434</c:v>
                </c:pt>
                <c:pt idx="20">
                  <c:v>27.45138888888914</c:v>
                </c:pt>
                <c:pt idx="21">
                  <c:v>41.70138888888869</c:v>
                </c:pt>
                <c:pt idx="22">
                  <c:v>110.32638888888869</c:v>
                </c:pt>
                <c:pt idx="23">
                  <c:v>61.99603174603226</c:v>
                </c:pt>
                <c:pt idx="24">
                  <c:v>41.12103174603135</c:v>
                </c:pt>
                <c:pt idx="25">
                  <c:v>31.502976190476602</c:v>
                </c:pt>
                <c:pt idx="26">
                  <c:v>33.16964285714266</c:v>
                </c:pt>
                <c:pt idx="27">
                  <c:v>55.35714285714312</c:v>
                </c:pt>
                <c:pt idx="28">
                  <c:v>52.64880952380918</c:v>
                </c:pt>
                <c:pt idx="29">
                  <c:v>100.06547619047637</c:v>
                </c:pt>
                <c:pt idx="30">
                  <c:v>56</c:v>
                </c:pt>
                <c:pt idx="31">
                  <c:v>72.7777777777776</c:v>
                </c:pt>
                <c:pt idx="32">
                  <c:v>48.19444444444457</c:v>
                </c:pt>
                <c:pt idx="33">
                  <c:v>21.202020202020094</c:v>
                </c:pt>
                <c:pt idx="34">
                  <c:v>80.18181818181824</c:v>
                </c:pt>
              </c:numCache>
            </c:numRef>
          </c:val>
          <c:smooth val="0"/>
        </c:ser>
        <c:ser>
          <c:idx val="1"/>
          <c:order val="1"/>
          <c:tx>
            <c:v>Smoothed monthly memberships 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Numbers!$A$10:$A$45</c:f>
              <c:strCache>
                <c:ptCount val="36"/>
                <c:pt idx="0">
                  <c:v>32324</c:v>
                </c:pt>
                <c:pt idx="1">
                  <c:v>32294</c:v>
                </c:pt>
                <c:pt idx="2">
                  <c:v>32263</c:v>
                </c:pt>
                <c:pt idx="3">
                  <c:v>32233</c:v>
                </c:pt>
                <c:pt idx="4">
                  <c:v>32202</c:v>
                </c:pt>
                <c:pt idx="5">
                  <c:v>32174</c:v>
                </c:pt>
                <c:pt idx="6">
                  <c:v>32143</c:v>
                </c:pt>
                <c:pt idx="7">
                  <c:v>32112</c:v>
                </c:pt>
                <c:pt idx="8">
                  <c:v>32082</c:v>
                </c:pt>
                <c:pt idx="9">
                  <c:v>32051</c:v>
                </c:pt>
                <c:pt idx="10">
                  <c:v>32021</c:v>
                </c:pt>
                <c:pt idx="11">
                  <c:v>31990</c:v>
                </c:pt>
                <c:pt idx="12">
                  <c:v>31959</c:v>
                </c:pt>
                <c:pt idx="13">
                  <c:v>31929</c:v>
                </c:pt>
                <c:pt idx="14">
                  <c:v>31898</c:v>
                </c:pt>
                <c:pt idx="15">
                  <c:v>31868</c:v>
                </c:pt>
                <c:pt idx="16">
                  <c:v>31837</c:v>
                </c:pt>
                <c:pt idx="17">
                  <c:v>31808</c:v>
                </c:pt>
                <c:pt idx="18">
                  <c:v>31777</c:v>
                </c:pt>
                <c:pt idx="19">
                  <c:v>31746</c:v>
                </c:pt>
                <c:pt idx="20">
                  <c:v>31716</c:v>
                </c:pt>
                <c:pt idx="21">
                  <c:v>31685</c:v>
                </c:pt>
                <c:pt idx="22">
                  <c:v>31655</c:v>
                </c:pt>
                <c:pt idx="23">
                  <c:v>31624</c:v>
                </c:pt>
                <c:pt idx="24">
                  <c:v>31593</c:v>
                </c:pt>
                <c:pt idx="25">
                  <c:v>31563</c:v>
                </c:pt>
                <c:pt idx="26">
                  <c:v>31532</c:v>
                </c:pt>
                <c:pt idx="27">
                  <c:v>31502</c:v>
                </c:pt>
                <c:pt idx="28">
                  <c:v>31471</c:v>
                </c:pt>
                <c:pt idx="29">
                  <c:v>31443</c:v>
                </c:pt>
                <c:pt idx="30">
                  <c:v>31412</c:v>
                </c:pt>
                <c:pt idx="31">
                  <c:v>31381</c:v>
                </c:pt>
                <c:pt idx="32">
                  <c:v>31351</c:v>
                </c:pt>
                <c:pt idx="33">
                  <c:v>31320</c:v>
                </c:pt>
                <c:pt idx="34">
                  <c:v>31290</c:v>
                </c:pt>
                <c:pt idx="35">
                  <c:v>31259</c:v>
                </c:pt>
              </c:strCache>
            </c:strRef>
          </c:cat>
          <c:val>
            <c:numRef>
              <c:f>Numbers!$AF$10:$AF$45</c:f>
              <c:numCache>
                <c:ptCount val="36"/>
                <c:pt idx="0">
                  <c:v>346.51300505050494</c:v>
                </c:pt>
                <c:pt idx="1">
                  <c:v>287.4257070707072</c:v>
                </c:pt>
                <c:pt idx="2">
                  <c:v>245.31186868686882</c:v>
                </c:pt>
                <c:pt idx="3">
                  <c:v>178.12354377104376</c:v>
                </c:pt>
                <c:pt idx="4">
                  <c:v>167.878888888889</c:v>
                </c:pt>
                <c:pt idx="5">
                  <c:v>162.90644444444442</c:v>
                </c:pt>
                <c:pt idx="6">
                  <c:v>157.18429888888895</c:v>
                </c:pt>
                <c:pt idx="7">
                  <c:v>131.79722222222216</c:v>
                </c:pt>
                <c:pt idx="8">
                  <c:v>128.85011574074076</c:v>
                </c:pt>
                <c:pt idx="9">
                  <c:v>117.70833333333333</c:v>
                </c:pt>
                <c:pt idx="10">
                  <c:v>327.125</c:v>
                </c:pt>
                <c:pt idx="11">
                  <c:v>66.05324074074072</c:v>
                </c:pt>
                <c:pt idx="12">
                  <c:v>61.33680555555554</c:v>
                </c:pt>
                <c:pt idx="13">
                  <c:v>56.97361111111104</c:v>
                </c:pt>
                <c:pt idx="14">
                  <c:v>52.73194444444444</c:v>
                </c:pt>
                <c:pt idx="15">
                  <c:v>42.9458333333334</c:v>
                </c:pt>
                <c:pt idx="16">
                  <c:v>39.41944444444444</c:v>
                </c:pt>
                <c:pt idx="17">
                  <c:v>40.6208333333333</c:v>
                </c:pt>
                <c:pt idx="18">
                  <c:v>38.206944444444524</c:v>
                </c:pt>
                <c:pt idx="19">
                  <c:v>40.13055555555557</c:v>
                </c:pt>
                <c:pt idx="20">
                  <c:v>55.89027777777765</c:v>
                </c:pt>
                <c:pt idx="21">
                  <c:v>58.93392857142862</c:v>
                </c:pt>
                <c:pt idx="22">
                  <c:v>56.51924603174602</c:v>
                </c:pt>
                <c:pt idx="23">
                  <c:v>57.329563492063514</c:v>
                </c:pt>
                <c:pt idx="24">
                  <c:v>55.62321428571431</c:v>
                </c:pt>
                <c:pt idx="25">
                  <c:v>44.6293650793652</c:v>
                </c:pt>
                <c:pt idx="26">
                  <c:v>42.75992063492058</c:v>
                </c:pt>
                <c:pt idx="27">
                  <c:v>54.54880952380959</c:v>
                </c:pt>
                <c:pt idx="28">
                  <c:v>59.448214285714265</c:v>
                </c:pt>
                <c:pt idx="29">
                  <c:v>67.36984126984126</c:v>
                </c:pt>
                <c:pt idx="30">
                  <c:v>65.93730158730155</c:v>
                </c:pt>
                <c:pt idx="31">
                  <c:v>59.64794372294373</c:v>
                </c:pt>
                <c:pt idx="32">
                  <c:v>55.6712121212121</c:v>
                </c:pt>
                <c:pt idx="33">
                  <c:v>49.859427609427634</c:v>
                </c:pt>
                <c:pt idx="34">
                  <c:v>50.69191919191917</c:v>
                </c:pt>
              </c:numCache>
            </c:numRef>
          </c:val>
          <c:smooth val="0"/>
        </c:ser>
        <c:marker val="1"/>
        <c:axId val="41888757"/>
        <c:axId val="41454494"/>
      </c:lineChart>
      <c:catAx>
        <c:axId val="4188875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454494"/>
        <c:crosses val="autoZero"/>
        <c:auto val="0"/>
        <c:lblOffset val="100"/>
        <c:noMultiLvlLbl val="0"/>
      </c:catAx>
      <c:valAx>
        <c:axId val="4145449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418887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35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Overall sizes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8"/>
          <c:w val="0.80975"/>
          <c:h val="0.81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Texas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Numbers!$H$10:$H$45</c:f>
              <c:numCache>
                <c:ptCount val="36"/>
                <c:pt idx="0">
                  <c:v>4374</c:v>
                </c:pt>
                <c:pt idx="1">
                  <c:v>3600</c:v>
                </c:pt>
                <c:pt idx="2">
                  <c:v>3463.3333333333335</c:v>
                </c:pt>
                <c:pt idx="3">
                  <c:v>3290</c:v>
                </c:pt>
                <c:pt idx="4">
                  <c:v>3200</c:v>
                </c:pt>
                <c:pt idx="5">
                  <c:v>3105.3333333333335</c:v>
                </c:pt>
                <c:pt idx="6">
                  <c:v>3005.5555555555557</c:v>
                </c:pt>
                <c:pt idx="7">
                  <c:v>2916</c:v>
                </c:pt>
                <c:pt idx="8">
                  <c:v>2806</c:v>
                </c:pt>
                <c:pt idx="9">
                  <c:v>2696</c:v>
                </c:pt>
                <c:pt idx="10">
                  <c:v>2586</c:v>
                </c:pt>
                <c:pt idx="11">
                  <c:v>2476</c:v>
                </c:pt>
                <c:pt idx="12">
                  <c:v>2366</c:v>
                </c:pt>
                <c:pt idx="13">
                  <c:v>2256</c:v>
                </c:pt>
                <c:pt idx="14">
                  <c:v>2216.5833333333335</c:v>
                </c:pt>
                <c:pt idx="15">
                  <c:v>2177.1666666666665</c:v>
                </c:pt>
                <c:pt idx="16">
                  <c:v>2137.75</c:v>
                </c:pt>
                <c:pt idx="17">
                  <c:v>2098.3333333333335</c:v>
                </c:pt>
                <c:pt idx="18">
                  <c:v>2058.9166666666665</c:v>
                </c:pt>
                <c:pt idx="19">
                  <c:v>2019.5</c:v>
                </c:pt>
                <c:pt idx="20">
                  <c:v>1980.0833333333333</c:v>
                </c:pt>
                <c:pt idx="21">
                  <c:v>1940.6666666666667</c:v>
                </c:pt>
                <c:pt idx="22">
                  <c:v>1901.25</c:v>
                </c:pt>
                <c:pt idx="23">
                  <c:v>1861.8333333333333</c:v>
                </c:pt>
                <c:pt idx="24">
                  <c:v>1822.4166666666667</c:v>
                </c:pt>
                <c:pt idx="25">
                  <c:v>1783</c:v>
                </c:pt>
                <c:pt idx="26">
                  <c:v>1755</c:v>
                </c:pt>
                <c:pt idx="27">
                  <c:v>1743</c:v>
                </c:pt>
                <c:pt idx="28">
                  <c:v>1733</c:v>
                </c:pt>
                <c:pt idx="29">
                  <c:v>1725.5</c:v>
                </c:pt>
                <c:pt idx="30">
                  <c:v>1718</c:v>
                </c:pt>
                <c:pt idx="31">
                  <c:v>1691</c:v>
                </c:pt>
                <c:pt idx="32">
                  <c:v>1625</c:v>
                </c:pt>
                <c:pt idx="33">
                  <c:v>1567</c:v>
                </c:pt>
                <c:pt idx="34">
                  <c:v>1522</c:v>
                </c:pt>
                <c:pt idx="35">
                  <c:v>1463</c:v>
                </c:pt>
              </c:numCache>
            </c:numRef>
          </c:val>
          <c:smooth val="0"/>
        </c:ser>
        <c:ser>
          <c:idx val="5"/>
          <c:order val="2"/>
          <c:tx>
            <c:v>LA3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Numbers!$I$9:$I$45</c:f>
              <c:numCache>
                <c:ptCount val="37"/>
                <c:pt idx="1">
                  <c:v>5257</c:v>
                </c:pt>
                <c:pt idx="2">
                  <c:v>4620</c:v>
                </c:pt>
                <c:pt idx="3">
                  <c:v>4285</c:v>
                </c:pt>
                <c:pt idx="4">
                  <c:v>4066</c:v>
                </c:pt>
                <c:pt idx="5">
                  <c:v>3847</c:v>
                </c:pt>
                <c:pt idx="6">
                  <c:v>3723</c:v>
                </c:pt>
                <c:pt idx="7">
                  <c:v>3631</c:v>
                </c:pt>
                <c:pt idx="8">
                  <c:v>3362</c:v>
                </c:pt>
                <c:pt idx="9">
                  <c:v>3140</c:v>
                </c:pt>
                <c:pt idx="10">
                  <c:v>3030</c:v>
                </c:pt>
                <c:pt idx="11">
                  <c:v>2949</c:v>
                </c:pt>
                <c:pt idx="12">
                  <c:v>2798</c:v>
                </c:pt>
                <c:pt idx="13">
                  <c:v>2767</c:v>
                </c:pt>
                <c:pt idx="14">
                  <c:v>2504</c:v>
                </c:pt>
                <c:pt idx="15">
                  <c:v>2299</c:v>
                </c:pt>
                <c:pt idx="16">
                  <c:v>2200</c:v>
                </c:pt>
                <c:pt idx="17">
                  <c:v>2161</c:v>
                </c:pt>
                <c:pt idx="18">
                  <c:v>2137</c:v>
                </c:pt>
                <c:pt idx="19">
                  <c:v>2113</c:v>
                </c:pt>
                <c:pt idx="20">
                  <c:v>2089</c:v>
                </c:pt>
                <c:pt idx="21">
                  <c:v>2065</c:v>
                </c:pt>
                <c:pt idx="22">
                  <c:v>2023.6666666666667</c:v>
                </c:pt>
                <c:pt idx="23">
                  <c:v>1982.3333333333333</c:v>
                </c:pt>
                <c:pt idx="24">
                  <c:v>1941</c:v>
                </c:pt>
                <c:pt idx="25">
                  <c:v>1866.25</c:v>
                </c:pt>
                <c:pt idx="26">
                  <c:v>1791.5</c:v>
                </c:pt>
                <c:pt idx="27">
                  <c:v>1716.75</c:v>
                </c:pt>
                <c:pt idx="28">
                  <c:v>1642</c:v>
                </c:pt>
                <c:pt idx="29">
                  <c:v>1634</c:v>
                </c:pt>
                <c:pt idx="30">
                  <c:v>1616</c:v>
                </c:pt>
                <c:pt idx="31">
                  <c:v>1608</c:v>
                </c:pt>
                <c:pt idx="32">
                  <c:v>1600</c:v>
                </c:pt>
                <c:pt idx="33">
                  <c:v>1594</c:v>
                </c:pt>
                <c:pt idx="34">
                  <c:v>1561</c:v>
                </c:pt>
              </c:numCache>
            </c:numRef>
          </c:val>
          <c:smooth val="0"/>
        </c:ser>
        <c:ser>
          <c:idx val="7"/>
          <c:order val="3"/>
          <c:tx>
            <c:v>Glasgow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Numbers!$J$9:$J$45</c:f>
              <c:numCache>
                <c:ptCount val="37"/>
                <c:pt idx="1">
                  <c:v>5903</c:v>
                </c:pt>
                <c:pt idx="2">
                  <c:v>5548</c:v>
                </c:pt>
                <c:pt idx="3">
                  <c:v>5430</c:v>
                </c:pt>
                <c:pt idx="4">
                  <c:v>5275</c:v>
                </c:pt>
                <c:pt idx="5">
                  <c:v>5120</c:v>
                </c:pt>
                <c:pt idx="6">
                  <c:v>4965</c:v>
                </c:pt>
                <c:pt idx="7">
                  <c:v>4810</c:v>
                </c:pt>
                <c:pt idx="8">
                  <c:v>4655</c:v>
                </c:pt>
                <c:pt idx="9">
                  <c:v>4500</c:v>
                </c:pt>
                <c:pt idx="10">
                  <c:v>4350</c:v>
                </c:pt>
                <c:pt idx="11">
                  <c:v>4300</c:v>
                </c:pt>
                <c:pt idx="12">
                  <c:v>3954</c:v>
                </c:pt>
                <c:pt idx="13">
                  <c:v>3907.3333333333335</c:v>
                </c:pt>
                <c:pt idx="14">
                  <c:v>3860.6666666666665</c:v>
                </c:pt>
                <c:pt idx="15">
                  <c:v>3814</c:v>
                </c:pt>
                <c:pt idx="16">
                  <c:v>3767.3333333333335</c:v>
                </c:pt>
                <c:pt idx="17">
                  <c:v>3720.6666666666665</c:v>
                </c:pt>
                <c:pt idx="18">
                  <c:v>3674</c:v>
                </c:pt>
                <c:pt idx="19">
                  <c:v>3635</c:v>
                </c:pt>
                <c:pt idx="20">
                  <c:v>3600</c:v>
                </c:pt>
                <c:pt idx="21">
                  <c:v>3566</c:v>
                </c:pt>
                <c:pt idx="22">
                  <c:v>3533</c:v>
                </c:pt>
                <c:pt idx="23">
                  <c:v>3498</c:v>
                </c:pt>
                <c:pt idx="24">
                  <c:v>3289</c:v>
                </c:pt>
                <c:pt idx="25">
                  <c:v>3217</c:v>
                </c:pt>
                <c:pt idx="26">
                  <c:v>3140</c:v>
                </c:pt>
                <c:pt idx="27">
                  <c:v>3064</c:v>
                </c:pt>
                <c:pt idx="28">
                  <c:v>2987</c:v>
                </c:pt>
                <c:pt idx="29">
                  <c:v>2911</c:v>
                </c:pt>
                <c:pt idx="30">
                  <c:v>2834</c:v>
                </c:pt>
                <c:pt idx="31">
                  <c:v>2758</c:v>
                </c:pt>
                <c:pt idx="32">
                  <c:v>2681</c:v>
                </c:pt>
                <c:pt idx="33">
                  <c:v>2605</c:v>
                </c:pt>
                <c:pt idx="34">
                  <c:v>2528</c:v>
                </c:pt>
                <c:pt idx="35">
                  <c:v>2452</c:v>
                </c:pt>
                <c:pt idx="36">
                  <c:v>2375</c:v>
                </c:pt>
              </c:numCache>
            </c:numRef>
          </c:val>
          <c:smooth val="0"/>
        </c:ser>
        <c:ser>
          <c:idx val="9"/>
          <c:order val="4"/>
          <c:tx>
            <c:v>Winnipeg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Numbers!$K$9:$K$45</c:f>
              <c:numCache>
                <c:ptCount val="37"/>
                <c:pt idx="1">
                  <c:v>4388</c:v>
                </c:pt>
                <c:pt idx="2">
                  <c:v>4177</c:v>
                </c:pt>
                <c:pt idx="3">
                  <c:v>4023.5</c:v>
                </c:pt>
                <c:pt idx="4">
                  <c:v>3870</c:v>
                </c:pt>
                <c:pt idx="5">
                  <c:v>3787.75</c:v>
                </c:pt>
                <c:pt idx="6">
                  <c:v>3705.5</c:v>
                </c:pt>
                <c:pt idx="7">
                  <c:v>3623.25</c:v>
                </c:pt>
                <c:pt idx="8">
                  <c:v>3541</c:v>
                </c:pt>
                <c:pt idx="9">
                  <c:v>3441.5</c:v>
                </c:pt>
                <c:pt idx="10">
                  <c:v>3342</c:v>
                </c:pt>
                <c:pt idx="11">
                  <c:v>3300</c:v>
                </c:pt>
                <c:pt idx="12">
                  <c:v>2826</c:v>
                </c:pt>
                <c:pt idx="13">
                  <c:v>2786.6666666666665</c:v>
                </c:pt>
                <c:pt idx="14">
                  <c:v>2747.3333333333335</c:v>
                </c:pt>
                <c:pt idx="15">
                  <c:v>2708</c:v>
                </c:pt>
                <c:pt idx="16">
                  <c:v>2680.3333333333335</c:v>
                </c:pt>
                <c:pt idx="17">
                  <c:v>2652.6666666666665</c:v>
                </c:pt>
                <c:pt idx="18">
                  <c:v>2625</c:v>
                </c:pt>
                <c:pt idx="19">
                  <c:v>2597.3333333333335</c:v>
                </c:pt>
                <c:pt idx="20">
                  <c:v>2569.6666666666665</c:v>
                </c:pt>
                <c:pt idx="21">
                  <c:v>2542</c:v>
                </c:pt>
                <c:pt idx="22">
                  <c:v>2514.3333333333335</c:v>
                </c:pt>
                <c:pt idx="23">
                  <c:v>2486.6666666666665</c:v>
                </c:pt>
                <c:pt idx="24">
                  <c:v>2459</c:v>
                </c:pt>
                <c:pt idx="25">
                  <c:v>2437.714285714286</c:v>
                </c:pt>
                <c:pt idx="26">
                  <c:v>2416.4285714285716</c:v>
                </c:pt>
                <c:pt idx="27">
                  <c:v>2395.142857142857</c:v>
                </c:pt>
                <c:pt idx="28">
                  <c:v>2373.857142857143</c:v>
                </c:pt>
                <c:pt idx="29">
                  <c:v>2352.5714285714284</c:v>
                </c:pt>
                <c:pt idx="30">
                  <c:v>2331.285714285714</c:v>
                </c:pt>
                <c:pt idx="31">
                  <c:v>2310</c:v>
                </c:pt>
                <c:pt idx="32">
                  <c:v>2273</c:v>
                </c:pt>
                <c:pt idx="33">
                  <c:v>2236</c:v>
                </c:pt>
                <c:pt idx="34">
                  <c:v>2199</c:v>
                </c:pt>
                <c:pt idx="35">
                  <c:v>2162</c:v>
                </c:pt>
                <c:pt idx="36">
                  <c:v>2125</c:v>
                </c:pt>
              </c:numCache>
            </c:numRef>
          </c:val>
          <c:smooth val="0"/>
        </c:ser>
        <c:ser>
          <c:idx val="10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6"/>
          <c:tx>
            <c:v>SF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Numbers!$L$9:$L$45</c:f>
              <c:numCache>
                <c:ptCount val="37"/>
                <c:pt idx="1">
                  <c:v>6000</c:v>
                </c:pt>
                <c:pt idx="2">
                  <c:v>5610</c:v>
                </c:pt>
                <c:pt idx="3">
                  <c:v>5319</c:v>
                </c:pt>
                <c:pt idx="4">
                  <c:v>5061.62</c:v>
                </c:pt>
                <c:pt idx="5">
                  <c:v>4619.6746</c:v>
                </c:pt>
                <c:pt idx="6">
                  <c:v>4562</c:v>
                </c:pt>
                <c:pt idx="7">
                  <c:v>4402</c:v>
                </c:pt>
                <c:pt idx="8">
                  <c:v>4216</c:v>
                </c:pt>
                <c:pt idx="9">
                  <c:v>4003</c:v>
                </c:pt>
                <c:pt idx="10">
                  <c:v>3911</c:v>
                </c:pt>
                <c:pt idx="11">
                  <c:v>3753</c:v>
                </c:pt>
                <c:pt idx="12">
                  <c:v>3175</c:v>
                </c:pt>
                <c:pt idx="13">
                  <c:v>3112</c:v>
                </c:pt>
                <c:pt idx="14">
                  <c:v>3060</c:v>
                </c:pt>
                <c:pt idx="15">
                  <c:v>3030</c:v>
                </c:pt>
                <c:pt idx="16">
                  <c:v>2964</c:v>
                </c:pt>
                <c:pt idx="17">
                  <c:v>2898</c:v>
                </c:pt>
                <c:pt idx="18">
                  <c:v>2865</c:v>
                </c:pt>
                <c:pt idx="19">
                  <c:v>2838</c:v>
                </c:pt>
                <c:pt idx="20">
                  <c:v>2713</c:v>
                </c:pt>
                <c:pt idx="21">
                  <c:v>2474</c:v>
                </c:pt>
                <c:pt idx="22">
                  <c:v>2409</c:v>
                </c:pt>
                <c:pt idx="23">
                  <c:v>2382</c:v>
                </c:pt>
                <c:pt idx="24">
                  <c:v>2119</c:v>
                </c:pt>
                <c:pt idx="25">
                  <c:v>2080</c:v>
                </c:pt>
                <c:pt idx="26">
                  <c:v>2052</c:v>
                </c:pt>
                <c:pt idx="27">
                  <c:v>2024</c:v>
                </c:pt>
                <c:pt idx="28">
                  <c:v>1978</c:v>
                </c:pt>
                <c:pt idx="29">
                  <c:v>1710</c:v>
                </c:pt>
                <c:pt idx="30">
                  <c:v>1673</c:v>
                </c:pt>
                <c:pt idx="31">
                  <c:v>1673</c:v>
                </c:pt>
                <c:pt idx="32">
                  <c:v>1670</c:v>
                </c:pt>
                <c:pt idx="33">
                  <c:v>1432</c:v>
                </c:pt>
                <c:pt idx="34">
                  <c:v>1399</c:v>
                </c:pt>
                <c:pt idx="35">
                  <c:v>1366</c:v>
                </c:pt>
                <c:pt idx="36">
                  <c:v>1088</c:v>
                </c:pt>
              </c:numCache>
            </c:numRef>
          </c:val>
          <c:smooth val="0"/>
        </c:ser>
        <c:ser>
          <c:idx val="13"/>
          <c:order val="7"/>
          <c:tx>
            <c:v>Magicon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Numbers!$M$9:$M$45</c:f>
              <c:numCache>
                <c:ptCount val="37"/>
                <c:pt idx="1">
                  <c:v>5317</c:v>
                </c:pt>
                <c:pt idx="2">
                  <c:v>4991</c:v>
                </c:pt>
                <c:pt idx="3">
                  <c:v>4788</c:v>
                </c:pt>
                <c:pt idx="4">
                  <c:v>4752</c:v>
                </c:pt>
                <c:pt idx="5">
                  <c:v>4682</c:v>
                </c:pt>
                <c:pt idx="6">
                  <c:v>4247</c:v>
                </c:pt>
                <c:pt idx="7">
                  <c:v>4110</c:v>
                </c:pt>
                <c:pt idx="8">
                  <c:v>3988</c:v>
                </c:pt>
                <c:pt idx="9">
                  <c:v>3895</c:v>
                </c:pt>
                <c:pt idx="10">
                  <c:v>3840</c:v>
                </c:pt>
                <c:pt idx="11">
                  <c:v>3780</c:v>
                </c:pt>
                <c:pt idx="12">
                  <c:v>3152</c:v>
                </c:pt>
                <c:pt idx="13">
                  <c:v>3127</c:v>
                </c:pt>
                <c:pt idx="14">
                  <c:v>3082.5</c:v>
                </c:pt>
                <c:pt idx="15">
                  <c:v>3038</c:v>
                </c:pt>
                <c:pt idx="16">
                  <c:v>2935.5</c:v>
                </c:pt>
                <c:pt idx="17">
                  <c:v>2833</c:v>
                </c:pt>
                <c:pt idx="18">
                  <c:v>2799.75</c:v>
                </c:pt>
                <c:pt idx="19">
                  <c:v>2766.5</c:v>
                </c:pt>
                <c:pt idx="20">
                  <c:v>2733.25</c:v>
                </c:pt>
                <c:pt idx="21">
                  <c:v>2700</c:v>
                </c:pt>
                <c:pt idx="22">
                  <c:v>2708</c:v>
                </c:pt>
                <c:pt idx="23">
                  <c:v>2716</c:v>
                </c:pt>
                <c:pt idx="24">
                  <c:v>2500</c:v>
                </c:pt>
                <c:pt idx="25">
                  <c:v>2409</c:v>
                </c:pt>
                <c:pt idx="26">
                  <c:v>2321</c:v>
                </c:pt>
                <c:pt idx="27">
                  <c:v>2233</c:v>
                </c:pt>
                <c:pt idx="28">
                  <c:v>2145</c:v>
                </c:pt>
                <c:pt idx="29">
                  <c:v>2057</c:v>
                </c:pt>
                <c:pt idx="30">
                  <c:v>1969</c:v>
                </c:pt>
                <c:pt idx="31">
                  <c:v>1810</c:v>
                </c:pt>
                <c:pt idx="32">
                  <c:v>1772</c:v>
                </c:pt>
                <c:pt idx="33">
                  <c:v>1738</c:v>
                </c:pt>
                <c:pt idx="34">
                  <c:v>1704</c:v>
                </c:pt>
                <c:pt idx="35">
                  <c:v>1670</c:v>
                </c:pt>
                <c:pt idx="36">
                  <c:v>1636</c:v>
                </c:pt>
              </c:numCache>
            </c:numRef>
          </c:val>
          <c:smooth val="0"/>
        </c:ser>
        <c:ser>
          <c:idx val="14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9"/>
          <c:tx>
            <c:v>Chicon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Numbers!$N$9:$N$45</c:f>
              <c:numCache>
                <c:ptCount val="37"/>
                <c:pt idx="1">
                  <c:v>5005</c:v>
                </c:pt>
                <c:pt idx="2">
                  <c:v>4693</c:v>
                </c:pt>
                <c:pt idx="3">
                  <c:v>4533</c:v>
                </c:pt>
                <c:pt idx="4">
                  <c:v>4482</c:v>
                </c:pt>
                <c:pt idx="5">
                  <c:v>4324</c:v>
                </c:pt>
                <c:pt idx="6">
                  <c:v>4106</c:v>
                </c:pt>
                <c:pt idx="7">
                  <c:v>4036</c:v>
                </c:pt>
                <c:pt idx="8">
                  <c:v>3858</c:v>
                </c:pt>
                <c:pt idx="9">
                  <c:v>3553</c:v>
                </c:pt>
                <c:pt idx="10">
                  <c:v>3210</c:v>
                </c:pt>
                <c:pt idx="11">
                  <c:v>3162</c:v>
                </c:pt>
                <c:pt idx="12">
                  <c:v>3058</c:v>
                </c:pt>
                <c:pt idx="13">
                  <c:v>3023</c:v>
                </c:pt>
                <c:pt idx="14">
                  <c:v>2785</c:v>
                </c:pt>
                <c:pt idx="15">
                  <c:v>2671</c:v>
                </c:pt>
                <c:pt idx="16">
                  <c:v>2613</c:v>
                </c:pt>
                <c:pt idx="17">
                  <c:v>2588</c:v>
                </c:pt>
                <c:pt idx="18">
                  <c:v>2563</c:v>
                </c:pt>
                <c:pt idx="19">
                  <c:v>2552</c:v>
                </c:pt>
                <c:pt idx="20">
                  <c:v>2452</c:v>
                </c:pt>
                <c:pt idx="21">
                  <c:v>2278</c:v>
                </c:pt>
                <c:pt idx="22">
                  <c:v>2228</c:v>
                </c:pt>
                <c:pt idx="23">
                  <c:v>2214</c:v>
                </c:pt>
                <c:pt idx="24">
                  <c:v>2055</c:v>
                </c:pt>
                <c:pt idx="25">
                  <c:v>2053</c:v>
                </c:pt>
                <c:pt idx="26">
                  <c:v>2043</c:v>
                </c:pt>
                <c:pt idx="27">
                  <c:v>2038</c:v>
                </c:pt>
                <c:pt idx="28">
                  <c:v>2026</c:v>
                </c:pt>
                <c:pt idx="29">
                  <c:v>2023</c:v>
                </c:pt>
                <c:pt idx="30">
                  <c:v>2017</c:v>
                </c:pt>
                <c:pt idx="31">
                  <c:v>2005</c:v>
                </c:pt>
                <c:pt idx="32">
                  <c:v>1896</c:v>
                </c:pt>
                <c:pt idx="33">
                  <c:v>1738</c:v>
                </c:pt>
                <c:pt idx="34">
                  <c:v>1670</c:v>
                </c:pt>
                <c:pt idx="35">
                  <c:v>1663</c:v>
                </c:pt>
                <c:pt idx="36">
                  <c:v>1456</c:v>
                </c:pt>
              </c:numCache>
            </c:numRef>
          </c:val>
          <c:smooth val="0"/>
        </c:ser>
        <c:ser>
          <c:idx val="16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v>N3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Numbers!$O$9:$O$45</c:f>
              <c:numCache>
                <c:ptCount val="37"/>
                <c:pt idx="1">
                  <c:v>6210</c:v>
                </c:pt>
                <c:pt idx="2">
                  <c:v>5520</c:v>
                </c:pt>
                <c:pt idx="3">
                  <c:v>5260</c:v>
                </c:pt>
                <c:pt idx="4">
                  <c:v>5040</c:v>
                </c:pt>
                <c:pt idx="5">
                  <c:v>4900</c:v>
                </c:pt>
                <c:pt idx="6">
                  <c:v>4280</c:v>
                </c:pt>
                <c:pt idx="7">
                  <c:v>4000</c:v>
                </c:pt>
                <c:pt idx="8">
                  <c:v>3760</c:v>
                </c:pt>
                <c:pt idx="9">
                  <c:v>3670</c:v>
                </c:pt>
                <c:pt idx="10">
                  <c:v>3580</c:v>
                </c:pt>
                <c:pt idx="11">
                  <c:v>3460</c:v>
                </c:pt>
                <c:pt idx="12">
                  <c:v>2820</c:v>
                </c:pt>
                <c:pt idx="13">
                  <c:v>2760</c:v>
                </c:pt>
                <c:pt idx="14">
                  <c:v>2640</c:v>
                </c:pt>
                <c:pt idx="15">
                  <c:v>2610</c:v>
                </c:pt>
                <c:pt idx="16">
                  <c:v>2580</c:v>
                </c:pt>
                <c:pt idx="17">
                  <c:v>2560</c:v>
                </c:pt>
                <c:pt idx="18">
                  <c:v>2540</c:v>
                </c:pt>
                <c:pt idx="19">
                  <c:v>2520</c:v>
                </c:pt>
                <c:pt idx="20">
                  <c:v>2440</c:v>
                </c:pt>
                <c:pt idx="21">
                  <c:v>2420</c:v>
                </c:pt>
                <c:pt idx="22">
                  <c:v>2400</c:v>
                </c:pt>
                <c:pt idx="23">
                  <c:v>2390</c:v>
                </c:pt>
                <c:pt idx="24">
                  <c:v>2310</c:v>
                </c:pt>
                <c:pt idx="25">
                  <c:v>2230</c:v>
                </c:pt>
                <c:pt idx="26">
                  <c:v>2220</c:v>
                </c:pt>
                <c:pt idx="27">
                  <c:v>2210</c:v>
                </c:pt>
                <c:pt idx="28">
                  <c:v>2200</c:v>
                </c:pt>
                <c:pt idx="29">
                  <c:v>2200</c:v>
                </c:pt>
                <c:pt idx="30">
                  <c:v>2180</c:v>
                </c:pt>
                <c:pt idx="31">
                  <c:v>1650</c:v>
                </c:pt>
                <c:pt idx="32">
                  <c:v>1575</c:v>
                </c:pt>
                <c:pt idx="33">
                  <c:v>1530</c:v>
                </c:pt>
                <c:pt idx="34">
                  <c:v>1490</c:v>
                </c:pt>
                <c:pt idx="35">
                  <c:v>1440</c:v>
                </c:pt>
                <c:pt idx="36">
                  <c:v>1276</c:v>
                </c:pt>
              </c:numCache>
            </c:numRef>
          </c:val>
          <c:smooth val="0"/>
        </c:ser>
        <c:ser>
          <c:idx val="1"/>
          <c:order val="12"/>
          <c:tx>
            <c:v>Balti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Numbers!$G$10:$G$45</c:f>
              <c:numCache>
                <c:ptCount val="36"/>
                <c:pt idx="0">
                  <c:v>4911</c:v>
                </c:pt>
                <c:pt idx="1">
                  <c:v>4629.2</c:v>
                </c:pt>
                <c:pt idx="2">
                  <c:v>4347.4</c:v>
                </c:pt>
                <c:pt idx="3">
                  <c:v>4065.6</c:v>
                </c:pt>
                <c:pt idx="4">
                  <c:v>3783.8</c:v>
                </c:pt>
                <c:pt idx="5">
                  <c:v>3502</c:v>
                </c:pt>
                <c:pt idx="6">
                  <c:v>3384</c:v>
                </c:pt>
                <c:pt idx="7">
                  <c:v>3257</c:v>
                </c:pt>
                <c:pt idx="8">
                  <c:v>3117</c:v>
                </c:pt>
                <c:pt idx="9">
                  <c:v>2887</c:v>
                </c:pt>
                <c:pt idx="10">
                  <c:v>2757</c:v>
                </c:pt>
                <c:pt idx="11">
                  <c:v>2726</c:v>
                </c:pt>
                <c:pt idx="12">
                  <c:v>2695</c:v>
                </c:pt>
                <c:pt idx="13">
                  <c:v>2664</c:v>
                </c:pt>
                <c:pt idx="14">
                  <c:v>2649</c:v>
                </c:pt>
                <c:pt idx="15">
                  <c:v>2629</c:v>
                </c:pt>
                <c:pt idx="16">
                  <c:v>2609</c:v>
                </c:pt>
                <c:pt idx="17">
                  <c:v>2589</c:v>
                </c:pt>
                <c:pt idx="18">
                  <c:v>2569</c:v>
                </c:pt>
                <c:pt idx="19">
                  <c:v>2549</c:v>
                </c:pt>
                <c:pt idx="20">
                  <c:v>2547</c:v>
                </c:pt>
                <c:pt idx="21">
                  <c:v>2545</c:v>
                </c:pt>
                <c:pt idx="22">
                  <c:v>2475</c:v>
                </c:pt>
                <c:pt idx="23">
                  <c:v>2130</c:v>
                </c:pt>
                <c:pt idx="24">
                  <c:v>2097</c:v>
                </c:pt>
                <c:pt idx="25">
                  <c:v>2072</c:v>
                </c:pt>
                <c:pt idx="26">
                  <c:v>2047</c:v>
                </c:pt>
                <c:pt idx="27">
                  <c:v>2022</c:v>
                </c:pt>
                <c:pt idx="28">
                  <c:v>1997</c:v>
                </c:pt>
                <c:pt idx="29">
                  <c:v>1972</c:v>
                </c:pt>
                <c:pt idx="30">
                  <c:v>1861</c:v>
                </c:pt>
                <c:pt idx="31">
                  <c:v>1789</c:v>
                </c:pt>
                <c:pt idx="32">
                  <c:v>1710.6666666666667</c:v>
                </c:pt>
                <c:pt idx="33">
                  <c:v>1632.3333333333333</c:v>
                </c:pt>
                <c:pt idx="34">
                  <c:v>1554</c:v>
                </c:pt>
                <c:pt idx="35">
                  <c:v>1554</c:v>
                </c:pt>
              </c:numCache>
            </c:numRef>
          </c:val>
          <c:smooth val="0"/>
        </c:ser>
        <c:ser>
          <c:idx val="2"/>
          <c:order val="13"/>
          <c:tx>
            <c:v>Philly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Numbers!$A$9:$A$45</c:f>
              <c:strCache>
                <c:ptCount val="37"/>
                <c:pt idx="0">
                  <c:v>32355</c:v>
                </c:pt>
                <c:pt idx="1">
                  <c:v>32324</c:v>
                </c:pt>
                <c:pt idx="2">
                  <c:v>32294</c:v>
                </c:pt>
                <c:pt idx="3">
                  <c:v>32263</c:v>
                </c:pt>
                <c:pt idx="4">
                  <c:v>32233</c:v>
                </c:pt>
                <c:pt idx="5">
                  <c:v>32202</c:v>
                </c:pt>
                <c:pt idx="6">
                  <c:v>32174</c:v>
                </c:pt>
                <c:pt idx="7">
                  <c:v>32143</c:v>
                </c:pt>
                <c:pt idx="8">
                  <c:v>32112</c:v>
                </c:pt>
                <c:pt idx="9">
                  <c:v>32082</c:v>
                </c:pt>
                <c:pt idx="10">
                  <c:v>32051</c:v>
                </c:pt>
                <c:pt idx="11">
                  <c:v>32021</c:v>
                </c:pt>
                <c:pt idx="12">
                  <c:v>31990</c:v>
                </c:pt>
                <c:pt idx="13">
                  <c:v>31959</c:v>
                </c:pt>
                <c:pt idx="14">
                  <c:v>31929</c:v>
                </c:pt>
                <c:pt idx="15">
                  <c:v>31898</c:v>
                </c:pt>
                <c:pt idx="16">
                  <c:v>31868</c:v>
                </c:pt>
                <c:pt idx="17">
                  <c:v>31837</c:v>
                </c:pt>
                <c:pt idx="18">
                  <c:v>31808</c:v>
                </c:pt>
                <c:pt idx="19">
                  <c:v>31777</c:v>
                </c:pt>
                <c:pt idx="20">
                  <c:v>31746</c:v>
                </c:pt>
                <c:pt idx="21">
                  <c:v>31716</c:v>
                </c:pt>
                <c:pt idx="22">
                  <c:v>31685</c:v>
                </c:pt>
                <c:pt idx="23">
                  <c:v>31655</c:v>
                </c:pt>
                <c:pt idx="24">
                  <c:v>31624</c:v>
                </c:pt>
                <c:pt idx="25">
                  <c:v>31593</c:v>
                </c:pt>
                <c:pt idx="26">
                  <c:v>31563</c:v>
                </c:pt>
                <c:pt idx="27">
                  <c:v>31532</c:v>
                </c:pt>
                <c:pt idx="28">
                  <c:v>31502</c:v>
                </c:pt>
                <c:pt idx="29">
                  <c:v>31471</c:v>
                </c:pt>
                <c:pt idx="30">
                  <c:v>31443</c:v>
                </c:pt>
                <c:pt idx="31">
                  <c:v>31412</c:v>
                </c:pt>
                <c:pt idx="32">
                  <c:v>31381</c:v>
                </c:pt>
                <c:pt idx="33">
                  <c:v>31351</c:v>
                </c:pt>
                <c:pt idx="34">
                  <c:v>31320</c:v>
                </c:pt>
                <c:pt idx="35">
                  <c:v>31290</c:v>
                </c:pt>
                <c:pt idx="36">
                  <c:v>31259</c:v>
                </c:pt>
              </c:strCache>
            </c:strRef>
          </c:cat>
          <c:val>
            <c:numRef>
              <c:f>Numbers!$F$10:$F$45</c:f>
              <c:numCache>
                <c:ptCount val="36"/>
                <c:pt idx="0">
                  <c:v>5169</c:v>
                </c:pt>
                <c:pt idx="1">
                  <c:v>4135</c:v>
                </c:pt>
                <c:pt idx="2">
                  <c:v>3862</c:v>
                </c:pt>
                <c:pt idx="3">
                  <c:v>3567</c:v>
                </c:pt>
                <c:pt idx="4">
                  <c:v>3389</c:v>
                </c:pt>
                <c:pt idx="5">
                  <c:v>3273</c:v>
                </c:pt>
                <c:pt idx="6">
                  <c:v>3187</c:v>
                </c:pt>
                <c:pt idx="7">
                  <c:v>3069</c:v>
                </c:pt>
                <c:pt idx="8">
                  <c:v>2996</c:v>
                </c:pt>
                <c:pt idx="9">
                  <c:v>2899</c:v>
                </c:pt>
                <c:pt idx="10">
                  <c:v>2816</c:v>
                </c:pt>
                <c:pt idx="11">
                  <c:v>2496</c:v>
                </c:pt>
                <c:pt idx="12">
                  <c:v>2451</c:v>
                </c:pt>
                <c:pt idx="13">
                  <c:v>2525</c:v>
                </c:pt>
                <c:pt idx="14">
                  <c:v>2413</c:v>
                </c:pt>
                <c:pt idx="15">
                  <c:v>2381</c:v>
                </c:pt>
                <c:pt idx="16">
                  <c:v>2336</c:v>
                </c:pt>
                <c:pt idx="17">
                  <c:v>2277</c:v>
                </c:pt>
                <c:pt idx="18">
                  <c:v>2274</c:v>
                </c:pt>
                <c:pt idx="19">
                  <c:v>2262</c:v>
                </c:pt>
                <c:pt idx="20">
                  <c:v>2253</c:v>
                </c:pt>
                <c:pt idx="21">
                  <c:v>2208</c:v>
                </c:pt>
                <c:pt idx="22">
                  <c:v>2199</c:v>
                </c:pt>
                <c:pt idx="23">
                  <c:v>2112</c:v>
                </c:pt>
                <c:pt idx="24">
                  <c:v>2088</c:v>
                </c:pt>
                <c:pt idx="25">
                  <c:v>2074</c:v>
                </c:pt>
                <c:pt idx="26">
                  <c:v>2065</c:v>
                </c:pt>
                <c:pt idx="27">
                  <c:v>2055</c:v>
                </c:pt>
                <c:pt idx="28">
                  <c:v>1905</c:v>
                </c:pt>
                <c:pt idx="29">
                  <c:v>1808</c:v>
                </c:pt>
                <c:pt idx="30">
                  <c:v>1748</c:v>
                </c:pt>
                <c:pt idx="31">
                  <c:v>1688</c:v>
                </c:pt>
                <c:pt idx="32">
                  <c:v>1646</c:v>
                </c:pt>
                <c:pt idx="33">
                  <c:v>1555</c:v>
                </c:pt>
                <c:pt idx="34">
                  <c:v>1542</c:v>
                </c:pt>
                <c:pt idx="35">
                  <c:v>1500</c:v>
                </c:pt>
              </c:numCache>
            </c:numRef>
          </c:val>
          <c:smooth val="0"/>
        </c:ser>
        <c:marker val="1"/>
        <c:axId val="37546127"/>
        <c:axId val="2370824"/>
      </c:lineChart>
      <c:catAx>
        <c:axId val="3754612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crossAx val="2370824"/>
        <c:crosses val="autoZero"/>
        <c:auto val="0"/>
        <c:lblOffset val="100"/>
        <c:noMultiLvlLbl val="0"/>
      </c:catAx>
      <c:valAx>
        <c:axId val="237082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375461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1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75"/>
          <c:w val="0.9795"/>
          <c:h val="0.965"/>
        </c:manualLayout>
      </c:layout>
      <c:lineChart>
        <c:grouping val="standard"/>
        <c:varyColors val="0"/>
        <c:ser>
          <c:idx val="4"/>
          <c:order val="0"/>
          <c:tx>
            <c:v>SF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Income!$BB$4:$BB$39</c:f>
              <c:numCache>
                <c:ptCount val="36"/>
                <c:pt idx="0">
                  <c:v>174176.49577057466</c:v>
                </c:pt>
                <c:pt idx="1">
                  <c:v>190597.41958875663</c:v>
                </c:pt>
                <c:pt idx="2">
                  <c:v>180475.33333875658</c:v>
                </c:pt>
                <c:pt idx="3">
                  <c:v>163981.4594887566</c:v>
                </c:pt>
                <c:pt idx="4">
                  <c:v>113459.75003958994</c:v>
                </c:pt>
                <c:pt idx="5">
                  <c:v>139120.24084986775</c:v>
                </c:pt>
                <c:pt idx="6">
                  <c:v>134983.57429894182</c:v>
                </c:pt>
                <c:pt idx="7">
                  <c:v>129975.95580357139</c:v>
                </c:pt>
                <c:pt idx="8">
                  <c:v>117122.5595535714</c:v>
                </c:pt>
                <c:pt idx="9">
                  <c:v>124388.8787202381</c:v>
                </c:pt>
                <c:pt idx="10">
                  <c:v>110084.42705357139</c:v>
                </c:pt>
                <c:pt idx="11">
                  <c:v>66486.51205357141</c:v>
                </c:pt>
                <c:pt idx="12">
                  <c:v>64734.86455357139</c:v>
                </c:pt>
                <c:pt idx="13">
                  <c:v>69125.58830357139</c:v>
                </c:pt>
                <c:pt idx="14">
                  <c:v>74708.97920634924</c:v>
                </c:pt>
                <c:pt idx="15">
                  <c:v>71913.0848313492</c:v>
                </c:pt>
                <c:pt idx="16">
                  <c:v>67788.57628968253</c:v>
                </c:pt>
                <c:pt idx="17">
                  <c:v>67622.8587896825</c:v>
                </c:pt>
                <c:pt idx="18">
                  <c:v>68379.21045634919</c:v>
                </c:pt>
                <c:pt idx="19">
                  <c:v>55859.04087301591</c:v>
                </c:pt>
                <c:pt idx="20">
                  <c:v>28171.299900793616</c:v>
                </c:pt>
                <c:pt idx="21">
                  <c:v>23046.64059523816</c:v>
                </c:pt>
                <c:pt idx="22">
                  <c:v>22662.564553571458</c:v>
                </c:pt>
                <c:pt idx="23">
                  <c:v>7438.026011904789</c:v>
                </c:pt>
                <c:pt idx="24">
                  <c:v>8409.933452380967</c:v>
                </c:pt>
                <c:pt idx="25">
                  <c:v>10367.67329365079</c:v>
                </c:pt>
                <c:pt idx="26">
                  <c:v>10830.219246031746</c:v>
                </c:pt>
                <c:pt idx="27">
                  <c:v>9155.398531746003</c:v>
                </c:pt>
                <c:pt idx="28">
                  <c:v>-17975.09932539679</c:v>
                </c:pt>
                <c:pt idx="29">
                  <c:v>-14398.750932539668</c:v>
                </c:pt>
                <c:pt idx="30">
                  <c:v>-1699.1786111110996</c:v>
                </c:pt>
                <c:pt idx="31">
                  <c:v>5106.483888888906</c:v>
                </c:pt>
                <c:pt idx="32">
                  <c:v>-15359.289722222253</c:v>
                </c:pt>
                <c:pt idx="33">
                  <c:v>-13448.02861111112</c:v>
                </c:pt>
                <c:pt idx="34">
                  <c:v>-11248.280909090914</c:v>
                </c:pt>
                <c:pt idx="35">
                  <c:v>-118716.27636363638</c:v>
                </c:pt>
              </c:numCache>
            </c:numRef>
          </c:val>
          <c:smooth val="0"/>
        </c:ser>
        <c:ser>
          <c:idx val="5"/>
          <c:order val="1"/>
          <c:tx>
            <c:v>Win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Income!$BC$4:$BC$39</c:f>
              <c:numCache>
                <c:ptCount val="36"/>
                <c:pt idx="0">
                  <c:v>-187127.62957228237</c:v>
                </c:pt>
                <c:pt idx="1">
                  <c:v>-137503.99575410044</c:v>
                </c:pt>
                <c:pt idx="2">
                  <c:v>-122121.20700410055</c:v>
                </c:pt>
                <c:pt idx="3">
                  <c:v>-119346.37965410057</c:v>
                </c:pt>
                <c:pt idx="4">
                  <c:v>-104457.48061326722</c:v>
                </c:pt>
                <c:pt idx="5">
                  <c:v>-83266.02629298938</c:v>
                </c:pt>
                <c:pt idx="6">
                  <c:v>-73263.85534391529</c:v>
                </c:pt>
                <c:pt idx="7">
                  <c:v>-59782.18633928569</c:v>
                </c:pt>
                <c:pt idx="8">
                  <c:v>-52408.74758928572</c:v>
                </c:pt>
                <c:pt idx="9">
                  <c:v>-46425.978422618995</c:v>
                </c:pt>
                <c:pt idx="10">
                  <c:v>-40878.19008928572</c:v>
                </c:pt>
                <c:pt idx="11">
                  <c:v>-66677.5450892857</c:v>
                </c:pt>
                <c:pt idx="12">
                  <c:v>-64512.12258928575</c:v>
                </c:pt>
                <c:pt idx="13">
                  <c:v>-58071.04550595238</c:v>
                </c:pt>
                <c:pt idx="14">
                  <c:v>-53998.44126984125</c:v>
                </c:pt>
                <c:pt idx="15">
                  <c:v>-50860.718978174584</c:v>
                </c:pt>
                <c:pt idx="16">
                  <c:v>-49051.610853174614</c:v>
                </c:pt>
                <c:pt idx="17">
                  <c:v>-48401.488353174616</c:v>
                </c:pt>
                <c:pt idx="18">
                  <c:v>-47747.116686507914</c:v>
                </c:pt>
                <c:pt idx="19">
                  <c:v>-45378.206269841234</c:v>
                </c:pt>
                <c:pt idx="20">
                  <c:v>-41122.9139087302</c:v>
                </c:pt>
                <c:pt idx="21">
                  <c:v>-40915.62654761897</c:v>
                </c:pt>
                <c:pt idx="22">
                  <c:v>-41394.00258928572</c:v>
                </c:pt>
                <c:pt idx="23">
                  <c:v>-23330.64113095237</c:v>
                </c:pt>
                <c:pt idx="24">
                  <c:v>-19853.047976190486</c:v>
                </c:pt>
                <c:pt idx="25">
                  <c:v>-16964.43956349208</c:v>
                </c:pt>
                <c:pt idx="26">
                  <c:v>-15571.025039682601</c:v>
                </c:pt>
                <c:pt idx="27">
                  <c:v>-13819.457182539685</c:v>
                </c:pt>
                <c:pt idx="28">
                  <c:v>-9323.65075396825</c:v>
                </c:pt>
                <c:pt idx="29">
                  <c:v>-3732.888075396826</c:v>
                </c:pt>
                <c:pt idx="30">
                  <c:v>6296.391388888878</c:v>
                </c:pt>
                <c:pt idx="31">
                  <c:v>8836.753888888896</c:v>
                </c:pt>
                <c:pt idx="32">
                  <c:v>13586.430277777748</c:v>
                </c:pt>
                <c:pt idx="33">
                  <c:v>15023.171388888877</c:v>
                </c:pt>
                <c:pt idx="34">
                  <c:v>16748.39909090908</c:v>
                </c:pt>
                <c:pt idx="35">
                  <c:v>-62129.76636363639</c:v>
                </c:pt>
              </c:numCache>
            </c:numRef>
          </c:val>
          <c:smooth val="0"/>
        </c:ser>
        <c:ser>
          <c:idx val="0"/>
          <c:order val="2"/>
          <c:tx>
            <c:v>N3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Income!$AY$4:$AY$39</c:f>
              <c:numCache>
                <c:ptCount val="36"/>
                <c:pt idx="0">
                  <c:v>231087.03257057478</c:v>
                </c:pt>
                <c:pt idx="1">
                  <c:v>191860.95638875675</c:v>
                </c:pt>
                <c:pt idx="2">
                  <c:v>187489.06013875664</c:v>
                </c:pt>
                <c:pt idx="3">
                  <c:v>177928.8024887566</c:v>
                </c:pt>
                <c:pt idx="4">
                  <c:v>182315.86402958992</c:v>
                </c:pt>
                <c:pt idx="5">
                  <c:v>105717.48084986774</c:v>
                </c:pt>
                <c:pt idx="6">
                  <c:v>79758.81429894181</c:v>
                </c:pt>
                <c:pt idx="7">
                  <c:v>65127.85580357141</c:v>
                </c:pt>
                <c:pt idx="8">
                  <c:v>74194.28955357138</c:v>
                </c:pt>
                <c:pt idx="9">
                  <c:v>81802.88872023812</c:v>
                </c:pt>
                <c:pt idx="10">
                  <c:v>74001.7570535714</c:v>
                </c:pt>
                <c:pt idx="11">
                  <c:v>19793.162053571432</c:v>
                </c:pt>
                <c:pt idx="12">
                  <c:v>18538.04455357144</c:v>
                </c:pt>
                <c:pt idx="13">
                  <c:v>11921.608303571411</c:v>
                </c:pt>
                <c:pt idx="14">
                  <c:v>17504.999206349254</c:v>
                </c:pt>
                <c:pt idx="15">
                  <c:v>20281.544831349223</c:v>
                </c:pt>
                <c:pt idx="16">
                  <c:v>23277.37628968258</c:v>
                </c:pt>
                <c:pt idx="17">
                  <c:v>25100.268789682537</c:v>
                </c:pt>
                <c:pt idx="18">
                  <c:v>26927.4104563492</c:v>
                </c:pt>
                <c:pt idx="19">
                  <c:v>21290.890873015916</c:v>
                </c:pt>
                <c:pt idx="20">
                  <c:v>26704.9999007936</c:v>
                </c:pt>
                <c:pt idx="21">
                  <c:v>28007.240595238138</c:v>
                </c:pt>
                <c:pt idx="22">
                  <c:v>30027.81455357143</c:v>
                </c:pt>
                <c:pt idx="23">
                  <c:v>40688.626011904766</c:v>
                </c:pt>
                <c:pt idx="24">
                  <c:v>35861.08345238093</c:v>
                </c:pt>
                <c:pt idx="25">
                  <c:v>40314.343293650774</c:v>
                </c:pt>
                <c:pt idx="26">
                  <c:v>43272.40924603175</c:v>
                </c:pt>
                <c:pt idx="27">
                  <c:v>46588.62853174601</c:v>
                </c:pt>
                <c:pt idx="28">
                  <c:v>53813.050674603204</c:v>
                </c:pt>
                <c:pt idx="29">
                  <c:v>59568.62906746034</c:v>
                </c:pt>
                <c:pt idx="30">
                  <c:v>5779.701388888905</c:v>
                </c:pt>
                <c:pt idx="31">
                  <c:v>3552.9638888889167</c:v>
                </c:pt>
                <c:pt idx="32">
                  <c:v>7299.040277777764</c:v>
                </c:pt>
                <c:pt idx="33">
                  <c:v>8379.891388888878</c:v>
                </c:pt>
                <c:pt idx="34">
                  <c:v>8562.929090909078</c:v>
                </c:pt>
                <c:pt idx="35">
                  <c:v>-85381.24636363638</c:v>
                </c:pt>
              </c:numCache>
            </c:numRef>
          </c:val>
          <c:smooth val="0"/>
        </c:ser>
        <c:ser>
          <c:idx val="1"/>
          <c:order val="3"/>
          <c:tx>
            <c:v>Glasgow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Income!$BD$4:$BD$39</c:f>
              <c:numCache>
                <c:ptCount val="36"/>
                <c:pt idx="0">
                  <c:v>-10111.974096092046</c:v>
                </c:pt>
                <c:pt idx="1">
                  <c:v>12801.099722089944</c:v>
                </c:pt>
                <c:pt idx="2">
                  <c:v>34768.78347208991</c:v>
                </c:pt>
                <c:pt idx="3">
                  <c:v>37265.37582208996</c:v>
                </c:pt>
                <c:pt idx="4">
                  <c:v>38924.68736292329</c:v>
                </c:pt>
                <c:pt idx="5">
                  <c:v>46886.554183201166</c:v>
                </c:pt>
                <c:pt idx="6">
                  <c:v>43659.13763227523</c:v>
                </c:pt>
                <c:pt idx="7">
                  <c:v>44176.029136904865</c:v>
                </c:pt>
                <c:pt idx="8">
                  <c:v>41658.81288690487</c:v>
                </c:pt>
                <c:pt idx="9">
                  <c:v>38999.01205357158</c:v>
                </c:pt>
                <c:pt idx="10">
                  <c:v>43177.68038690486</c:v>
                </c:pt>
                <c:pt idx="11">
                  <c:v>39284.24538690486</c:v>
                </c:pt>
                <c:pt idx="12">
                  <c:v>40235.92788690486</c:v>
                </c:pt>
                <c:pt idx="13">
                  <c:v>45489.958303571446</c:v>
                </c:pt>
                <c:pt idx="14">
                  <c:v>48375.515873015975</c:v>
                </c:pt>
                <c:pt idx="15">
                  <c:v>48572.22816468263</c:v>
                </c:pt>
                <c:pt idx="16">
                  <c:v>47440.32628968259</c:v>
                </c:pt>
                <c:pt idx="17">
                  <c:v>45184.018789682596</c:v>
                </c:pt>
                <c:pt idx="18">
                  <c:v>44104.730456349265</c:v>
                </c:pt>
                <c:pt idx="19">
                  <c:v>45351.860873015976</c:v>
                </c:pt>
                <c:pt idx="20">
                  <c:v>48649.86990079368</c:v>
                </c:pt>
                <c:pt idx="21">
                  <c:v>48095.45059523822</c:v>
                </c:pt>
                <c:pt idx="22">
                  <c:v>46579.77455357151</c:v>
                </c:pt>
                <c:pt idx="23">
                  <c:v>38993.53601190486</c:v>
                </c:pt>
                <c:pt idx="24">
                  <c:v>35297.59345238103</c:v>
                </c:pt>
                <c:pt idx="25">
                  <c:v>30461.973293650866</c:v>
                </c:pt>
                <c:pt idx="26">
                  <c:v>24269.79924603182</c:v>
                </c:pt>
                <c:pt idx="27">
                  <c:v>18297.13853174608</c:v>
                </c:pt>
                <c:pt idx="28">
                  <c:v>15779.12067460327</c:v>
                </c:pt>
                <c:pt idx="29">
                  <c:v>14227.869067460386</c:v>
                </c:pt>
                <c:pt idx="30">
                  <c:v>17393.241388888942</c:v>
                </c:pt>
                <c:pt idx="31">
                  <c:v>14915.60388888896</c:v>
                </c:pt>
                <c:pt idx="32">
                  <c:v>14772.730277777795</c:v>
                </c:pt>
                <c:pt idx="33">
                  <c:v>11464.271388888912</c:v>
                </c:pt>
                <c:pt idx="34">
                  <c:v>8562.929090909107</c:v>
                </c:pt>
                <c:pt idx="35">
                  <c:v>-75060.43636363637</c:v>
                </c:pt>
              </c:numCache>
            </c:numRef>
          </c:val>
          <c:smooth val="0"/>
        </c:ser>
        <c:ser>
          <c:idx val="2"/>
          <c:order val="4"/>
          <c:tx>
            <c:v>LA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Income!$BE$4:$BE$39</c:f>
              <c:numCache>
                <c:ptCount val="36"/>
                <c:pt idx="0">
                  <c:v>73305.5867372416</c:v>
                </c:pt>
                <c:pt idx="1">
                  <c:v>43910.480555423535</c:v>
                </c:pt>
                <c:pt idx="2">
                  <c:v>25626.83430542343</c:v>
                </c:pt>
                <c:pt idx="3">
                  <c:v>16252.066655423376</c:v>
                </c:pt>
                <c:pt idx="4">
                  <c:v>6272.978196256678</c:v>
                </c:pt>
                <c:pt idx="5">
                  <c:v>19872.195016534475</c:v>
                </c:pt>
                <c:pt idx="6">
                  <c:v>28101.32846560853</c:v>
                </c:pt>
                <c:pt idx="7">
                  <c:v>8302.27997023816</c:v>
                </c:pt>
                <c:pt idx="8">
                  <c:v>-6155.006279761845</c:v>
                </c:pt>
                <c:pt idx="9">
                  <c:v>-1969.2071130951517</c:v>
                </c:pt>
                <c:pt idx="10">
                  <c:v>-3095.8787797619007</c:v>
                </c:pt>
                <c:pt idx="11">
                  <c:v>26382.98622023809</c:v>
                </c:pt>
                <c:pt idx="12">
                  <c:v>29927.658720238076</c:v>
                </c:pt>
                <c:pt idx="13">
                  <c:v>163.81247023807373</c:v>
                </c:pt>
                <c:pt idx="14">
                  <c:v>-22580.046626984084</c:v>
                </c:pt>
                <c:pt idx="15">
                  <c:v>-30484.011001984094</c:v>
                </c:pt>
                <c:pt idx="16">
                  <c:v>-30429.189543650748</c:v>
                </c:pt>
                <c:pt idx="17">
                  <c:v>-29218.177043650765</c:v>
                </c:pt>
                <c:pt idx="18">
                  <c:v>-28002.915376984078</c:v>
                </c:pt>
                <c:pt idx="19">
                  <c:v>-25073.114960317354</c:v>
                </c:pt>
                <c:pt idx="20">
                  <c:v>-20263.605932539678</c:v>
                </c:pt>
                <c:pt idx="21">
                  <c:v>-22008.1919047618</c:v>
                </c:pt>
                <c:pt idx="22">
                  <c:v>-24419.717946428544</c:v>
                </c:pt>
                <c:pt idx="23">
                  <c:v>-8289.506488095183</c:v>
                </c:pt>
                <c:pt idx="24">
                  <c:v>-12374.436547619029</c:v>
                </c:pt>
                <c:pt idx="25">
                  <c:v>-16898.11670634919</c:v>
                </c:pt>
                <c:pt idx="26">
                  <c:v>-22916.990753968217</c:v>
                </c:pt>
                <c:pt idx="27">
                  <c:v>-28577.711468253954</c:v>
                </c:pt>
                <c:pt idx="28">
                  <c:v>-22378.809325396753</c:v>
                </c:pt>
                <c:pt idx="29">
                  <c:v>-16366.850932539644</c:v>
                </c:pt>
                <c:pt idx="30">
                  <c:v>-4670.878611111082</c:v>
                </c:pt>
                <c:pt idx="31">
                  <c:v>1507.5338888889237</c:v>
                </c:pt>
                <c:pt idx="32">
                  <c:v>10146.160277777759</c:v>
                </c:pt>
                <c:pt idx="33">
                  <c:v>12057.421388888877</c:v>
                </c:pt>
                <c:pt idx="34">
                  <c:v>-123709.5209090909</c:v>
                </c:pt>
                <c:pt idx="35">
                  <c:v>-198198.37636363637</c:v>
                </c:pt>
              </c:numCache>
            </c:numRef>
          </c:val>
          <c:smooth val="0"/>
        </c:ser>
        <c:marker val="1"/>
        <c:axId val="21337417"/>
        <c:axId val="57819026"/>
      </c:lineChart>
      <c:lineChart>
        <c:grouping val="standard"/>
        <c:varyColors val="0"/>
        <c:ser>
          <c:idx val="7"/>
          <c:order val="5"/>
          <c:tx>
            <c:v>Texas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Income!$BF$4:$BF$39</c:f>
              <c:numCache>
                <c:ptCount val="36"/>
                <c:pt idx="0">
                  <c:v>-107495.34298498067</c:v>
                </c:pt>
                <c:pt idx="1">
                  <c:v>-162302.5791667988</c:v>
                </c:pt>
                <c:pt idx="2">
                  <c:v>-143797.37541679887</c:v>
                </c:pt>
                <c:pt idx="3">
                  <c:v>-144701.4330667989</c:v>
                </c:pt>
                <c:pt idx="4">
                  <c:v>-131221.87152596557</c:v>
                </c:pt>
                <c:pt idx="5">
                  <c:v>-112288.38803902105</c:v>
                </c:pt>
                <c:pt idx="6">
                  <c:v>-105473.64347883587</c:v>
                </c:pt>
                <c:pt idx="7">
                  <c:v>-93293.89752976183</c:v>
                </c:pt>
                <c:pt idx="8">
                  <c:v>-87791.66377976182</c:v>
                </c:pt>
                <c:pt idx="9">
                  <c:v>-83605.86461309512</c:v>
                </c:pt>
                <c:pt idx="10">
                  <c:v>-89695.59627976187</c:v>
                </c:pt>
                <c:pt idx="11">
                  <c:v>-53199.99127976186</c:v>
                </c:pt>
                <c:pt idx="12">
                  <c:v>-62730.60877976188</c:v>
                </c:pt>
                <c:pt idx="13">
                  <c:v>-67728.3450297619</c:v>
                </c:pt>
                <c:pt idx="14">
                  <c:v>-63669.229960317374</c:v>
                </c:pt>
                <c:pt idx="15">
                  <c:v>-62350.29016865077</c:v>
                </c:pt>
                <c:pt idx="16">
                  <c:v>-62359.96454365074</c:v>
                </c:pt>
                <c:pt idx="17">
                  <c:v>-63507.239543650736</c:v>
                </c:pt>
                <c:pt idx="18">
                  <c:v>-64650.26537698408</c:v>
                </c:pt>
                <c:pt idx="19">
                  <c:v>-64078.75246031734</c:v>
                </c:pt>
                <c:pt idx="20">
                  <c:v>-61599.47259920635</c:v>
                </c:pt>
                <c:pt idx="21">
                  <c:v>-63070.320238095126</c:v>
                </c:pt>
                <c:pt idx="22">
                  <c:v>-65210.73377976185</c:v>
                </c:pt>
                <c:pt idx="23">
                  <c:v>-48809.40982142853</c:v>
                </c:pt>
                <c:pt idx="24">
                  <c:v>-47896.439880952355</c:v>
                </c:pt>
                <c:pt idx="25">
                  <c:v>-47521.5067063492</c:v>
                </c:pt>
                <c:pt idx="26">
                  <c:v>-47058.96075396825</c:v>
                </c:pt>
                <c:pt idx="27">
                  <c:v>-44020.02146825398</c:v>
                </c:pt>
                <c:pt idx="28">
                  <c:v>-38077.499325396784</c:v>
                </c:pt>
                <c:pt idx="29">
                  <c:v>-30719.54593253965</c:v>
                </c:pt>
                <c:pt idx="30">
                  <c:v>-18960.848611111083</c:v>
                </c:pt>
                <c:pt idx="31">
                  <c:v>-15165.98611111108</c:v>
                </c:pt>
                <c:pt idx="32">
                  <c:v>-14054.35972222223</c:v>
                </c:pt>
                <c:pt idx="33">
                  <c:v>-15108.848611111098</c:v>
                </c:pt>
                <c:pt idx="34">
                  <c:v>-14332.660909090904</c:v>
                </c:pt>
                <c:pt idx="35">
                  <c:v>-95820.68636363637</c:v>
                </c:pt>
              </c:numCache>
            </c:numRef>
          </c:val>
          <c:smooth val="0"/>
        </c:ser>
        <c:ser>
          <c:idx val="6"/>
          <c:order val="6"/>
          <c:tx>
            <c:v>Magi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Income!$BA$4:$BA$39</c:f>
              <c:numCache>
                <c:ptCount val="36"/>
                <c:pt idx="0">
                  <c:v>44103.72757057485</c:v>
                </c:pt>
                <c:pt idx="1">
                  <c:v>72396.0113887568</c:v>
                </c:pt>
                <c:pt idx="2">
                  <c:v>78597.04513875674</c:v>
                </c:pt>
                <c:pt idx="3">
                  <c:v>103166.94748875673</c:v>
                </c:pt>
                <c:pt idx="4">
                  <c:v>120283.50902959006</c:v>
                </c:pt>
                <c:pt idx="5">
                  <c:v>77327.37584986788</c:v>
                </c:pt>
                <c:pt idx="6">
                  <c:v>77373.25929894194</c:v>
                </c:pt>
                <c:pt idx="7">
                  <c:v>83771.08080357156</c:v>
                </c:pt>
                <c:pt idx="8">
                  <c:v>92302.88455357152</c:v>
                </c:pt>
                <c:pt idx="9">
                  <c:v>105901.38372023823</c:v>
                </c:pt>
                <c:pt idx="10">
                  <c:v>108368.65205357148</c:v>
                </c:pt>
                <c:pt idx="11">
                  <c:v>56213.7370535715</c:v>
                </c:pt>
                <c:pt idx="12">
                  <c:v>60751.469553571485</c:v>
                </c:pt>
                <c:pt idx="13">
                  <c:v>66356.21830357146</c:v>
                </c:pt>
                <c:pt idx="14">
                  <c:v>69592.49420634925</c:v>
                </c:pt>
                <c:pt idx="15">
                  <c:v>61146.764831349254</c:v>
                </c:pt>
                <c:pt idx="16">
                  <c:v>51372.42128968262</c:v>
                </c:pt>
                <c:pt idx="17">
                  <c:v>51168.4612896826</c:v>
                </c:pt>
                <c:pt idx="18">
                  <c:v>50968.750456349284</c:v>
                </c:pt>
                <c:pt idx="19">
                  <c:v>52483.578373016004</c:v>
                </c:pt>
                <c:pt idx="20">
                  <c:v>55894.9499007937</c:v>
                </c:pt>
                <c:pt idx="21">
                  <c:v>61196.15059523823</c:v>
                </c:pt>
                <c:pt idx="22">
                  <c:v>65762.8245535715</c:v>
                </c:pt>
                <c:pt idx="23">
                  <c:v>57186.43601190485</c:v>
                </c:pt>
                <c:pt idx="24">
                  <c:v>50802.943452381005</c:v>
                </c:pt>
                <c:pt idx="25">
                  <c:v>44442.283293650835</c:v>
                </c:pt>
                <c:pt idx="26">
                  <c:v>36586.429246031796</c:v>
                </c:pt>
                <c:pt idx="27">
                  <c:v>29088.72853174605</c:v>
                </c:pt>
                <c:pt idx="28">
                  <c:v>25032.430674603238</c:v>
                </c:pt>
                <c:pt idx="29">
                  <c:v>22071.089067460358</c:v>
                </c:pt>
                <c:pt idx="30">
                  <c:v>14824.111388888938</c:v>
                </c:pt>
                <c:pt idx="31">
                  <c:v>17239.023888888943</c:v>
                </c:pt>
                <c:pt idx="32">
                  <c:v>22365.050277777802</c:v>
                </c:pt>
                <c:pt idx="33">
                  <c:v>24157.681388888916</c:v>
                </c:pt>
                <c:pt idx="34">
                  <c:v>26238.799090909102</c:v>
                </c:pt>
                <c:pt idx="35">
                  <c:v>-52283.47636363638</c:v>
                </c:pt>
              </c:numCache>
            </c:numRef>
          </c:val>
          <c:smooth val="0"/>
        </c:ser>
        <c:ser>
          <c:idx val="9"/>
          <c:order val="7"/>
          <c:tx>
            <c:v>Philly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Income!$BH$4:$BH$39</c:f>
              <c:numCache>
                <c:ptCount val="36"/>
                <c:pt idx="0">
                  <c:v>-10872.087429425213</c:v>
                </c:pt>
                <c:pt idx="1">
                  <c:v>-113906.7236112433</c:v>
                </c:pt>
                <c:pt idx="2">
                  <c:v>-120689.9898612434</c:v>
                </c:pt>
                <c:pt idx="3">
                  <c:v>-144161.9975112434</c:v>
                </c:pt>
                <c:pt idx="4">
                  <c:v>-146685.23597041005</c:v>
                </c:pt>
                <c:pt idx="5">
                  <c:v>-131631.2191501322</c:v>
                </c:pt>
                <c:pt idx="6">
                  <c:v>-122310.98570105812</c:v>
                </c:pt>
                <c:pt idx="7">
                  <c:v>-115200.32419642853</c:v>
                </c:pt>
                <c:pt idx="8">
                  <c:v>-103104.32044642855</c:v>
                </c:pt>
                <c:pt idx="9">
                  <c:v>-96693.70127976185</c:v>
                </c:pt>
                <c:pt idx="10">
                  <c:v>-98162.65294642857</c:v>
                </c:pt>
                <c:pt idx="11">
                  <c:v>-97606.44794642855</c:v>
                </c:pt>
                <c:pt idx="12">
                  <c:v>-96378.91544642858</c:v>
                </c:pt>
                <c:pt idx="13">
                  <c:v>-71592.57169642858</c:v>
                </c:pt>
                <c:pt idx="14">
                  <c:v>-79282.52079365076</c:v>
                </c:pt>
                <c:pt idx="15">
                  <c:v>-76815.55516865078</c:v>
                </c:pt>
                <c:pt idx="16">
                  <c:v>-77689.47371031743</c:v>
                </c:pt>
                <c:pt idx="17">
                  <c:v>-81832.41121031746</c:v>
                </c:pt>
                <c:pt idx="18">
                  <c:v>-77404.77954365077</c:v>
                </c:pt>
                <c:pt idx="19">
                  <c:v>-72639.33912698406</c:v>
                </c:pt>
                <c:pt idx="20">
                  <c:v>-65562.58009920639</c:v>
                </c:pt>
                <c:pt idx="21">
                  <c:v>-67830.83940476185</c:v>
                </c:pt>
                <c:pt idx="22">
                  <c:v>-65668.81544642855</c:v>
                </c:pt>
                <c:pt idx="23">
                  <c:v>-55998.153988095204</c:v>
                </c:pt>
                <c:pt idx="24">
                  <c:v>-52904.49654761903</c:v>
                </c:pt>
                <c:pt idx="25">
                  <c:v>-49005.79670634918</c:v>
                </c:pt>
                <c:pt idx="26">
                  <c:v>-45909.09075396822</c:v>
                </c:pt>
                <c:pt idx="27">
                  <c:v>-42592.87146825396</c:v>
                </c:pt>
                <c:pt idx="28">
                  <c:v>-54596.94932539677</c:v>
                </c:pt>
                <c:pt idx="29">
                  <c:v>-58712.00093253965</c:v>
                </c:pt>
                <c:pt idx="30">
                  <c:v>-53539.428611111085</c:v>
                </c:pt>
                <c:pt idx="31">
                  <c:v>-53884.41611111107</c:v>
                </c:pt>
                <c:pt idx="32">
                  <c:v>-49761.98972222222</c:v>
                </c:pt>
                <c:pt idx="33">
                  <c:v>-54731.268611111096</c:v>
                </c:pt>
                <c:pt idx="34">
                  <c:v>-50158.9209090909</c:v>
                </c:pt>
                <c:pt idx="35">
                  <c:v>-129630.23636363637</c:v>
                </c:pt>
              </c:numCache>
            </c:numRef>
          </c:val>
          <c:smooth val="0"/>
        </c:ser>
        <c:ser>
          <c:idx val="10"/>
          <c:order val="8"/>
          <c:tx>
            <c:v>Balt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Income!$BG$4:$BG$39</c:f>
              <c:numCache>
                <c:ptCount val="36"/>
                <c:pt idx="0">
                  <c:v>-51608.46809609188</c:v>
                </c:pt>
                <c:pt idx="1">
                  <c:v>-15117.526277909987</c:v>
                </c:pt>
                <c:pt idx="2">
                  <c:v>-23533.104527910124</c:v>
                </c:pt>
                <c:pt idx="3">
                  <c:v>-44556.644177910115</c:v>
                </c:pt>
                <c:pt idx="4">
                  <c:v>-65955.91263707675</c:v>
                </c:pt>
                <c:pt idx="5">
                  <c:v>-81052.62581679894</c:v>
                </c:pt>
                <c:pt idx="6">
                  <c:v>-77551.59236772486</c:v>
                </c:pt>
                <c:pt idx="7">
                  <c:v>-72044.82086309523</c:v>
                </c:pt>
                <c:pt idx="8">
                  <c:v>-71888.88711309526</c:v>
                </c:pt>
                <c:pt idx="9">
                  <c:v>-88239.88794642856</c:v>
                </c:pt>
                <c:pt idx="10">
                  <c:v>-97752.41961309526</c:v>
                </c:pt>
                <c:pt idx="11">
                  <c:v>-47736.754613095254</c:v>
                </c:pt>
                <c:pt idx="12">
                  <c:v>-44192.08211309527</c:v>
                </c:pt>
                <c:pt idx="13">
                  <c:v>-36402.088363095274</c:v>
                </c:pt>
                <c:pt idx="14">
                  <c:v>-28390.647460317443</c:v>
                </c:pt>
                <c:pt idx="15">
                  <c:v>-24066.20183531745</c:v>
                </c:pt>
                <c:pt idx="16">
                  <c:v>-21070.370376984094</c:v>
                </c:pt>
                <c:pt idx="17">
                  <c:v>-19247.477876984107</c:v>
                </c:pt>
                <c:pt idx="18">
                  <c:v>-17420.336210317415</c:v>
                </c:pt>
                <c:pt idx="19">
                  <c:v>-13878.655793650687</c:v>
                </c:pt>
                <c:pt idx="20">
                  <c:v>-5743.846765872993</c:v>
                </c:pt>
                <c:pt idx="21">
                  <c:v>-1870.8460714284738</c:v>
                </c:pt>
                <c:pt idx="22">
                  <c:v>-8337.272113095183</c:v>
                </c:pt>
                <c:pt idx="23">
                  <c:v>-35160.710654761846</c:v>
                </c:pt>
                <c:pt idx="24">
                  <c:v>-33340.103214285686</c:v>
                </c:pt>
                <c:pt idx="25">
                  <c:v>-30966.44337301585</c:v>
                </c:pt>
                <c:pt idx="26">
                  <c:v>-30087.97742063488</c:v>
                </c:pt>
                <c:pt idx="27">
                  <c:v>-28851.35813492062</c:v>
                </c:pt>
                <c:pt idx="28">
                  <c:v>-24831.68599206343</c:v>
                </c:pt>
                <c:pt idx="29">
                  <c:v>-19717.05759920631</c:v>
                </c:pt>
                <c:pt idx="30">
                  <c:v>-20942.435277777753</c:v>
                </c:pt>
                <c:pt idx="31">
                  <c:v>-22792.82277777775</c:v>
                </c:pt>
                <c:pt idx="32">
                  <c:v>-23228.41305555556</c:v>
                </c:pt>
                <c:pt idx="33">
                  <c:v>-26695.045277777783</c:v>
                </c:pt>
                <c:pt idx="34">
                  <c:v>-29873.190909090903</c:v>
                </c:pt>
                <c:pt idx="35">
                  <c:v>-104362.04636363637</c:v>
                </c:pt>
              </c:numCache>
            </c:numRef>
          </c:val>
          <c:smooth val="0"/>
        </c:ser>
        <c:ser>
          <c:idx val="3"/>
          <c:order val="9"/>
          <c:tx>
            <c:v>Chi5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Income!$AZ$4:$AZ$39</c:f>
              <c:numCache>
                <c:ptCount val="36"/>
                <c:pt idx="0">
                  <c:v>4209.012570574763</c:v>
                </c:pt>
                <c:pt idx="1">
                  <c:v>35098.1563887567</c:v>
                </c:pt>
                <c:pt idx="2">
                  <c:v>49275.260138756596</c:v>
                </c:pt>
                <c:pt idx="3">
                  <c:v>71062.81248875661</c:v>
                </c:pt>
                <c:pt idx="4">
                  <c:v>72176.57402958989</c:v>
                </c:pt>
                <c:pt idx="5">
                  <c:v>68681.89084986766</c:v>
                </c:pt>
                <c:pt idx="6">
                  <c:v>80911.72429894173</c:v>
                </c:pt>
                <c:pt idx="7">
                  <c:v>77329.78580357134</c:v>
                </c:pt>
                <c:pt idx="8">
                  <c:v>48081.069553571346</c:v>
                </c:pt>
                <c:pt idx="9">
                  <c:v>12391.248720238043</c:v>
                </c:pt>
                <c:pt idx="10">
                  <c:v>16912.197053571348</c:v>
                </c:pt>
                <c:pt idx="11">
                  <c:v>54434.642053571355</c:v>
                </c:pt>
                <c:pt idx="12">
                  <c:v>57317.27455357136</c:v>
                </c:pt>
                <c:pt idx="13">
                  <c:v>31600.17830357136</c:v>
                </c:pt>
                <c:pt idx="14">
                  <c:v>23586.489206349186</c:v>
                </c:pt>
                <c:pt idx="15">
                  <c:v>22028.91483134916</c:v>
                </c:pt>
                <c:pt idx="16">
                  <c:v>24250.796289682505</c:v>
                </c:pt>
                <c:pt idx="17">
                  <c:v>25308.838789682486</c:v>
                </c:pt>
                <c:pt idx="18">
                  <c:v>28512.71045634919</c:v>
                </c:pt>
                <c:pt idx="19">
                  <c:v>19816.79087301594</c:v>
                </c:pt>
                <c:pt idx="20">
                  <c:v>1953.799900793616</c:v>
                </c:pt>
                <c:pt idx="21">
                  <c:v>-1028.5594047618506</c:v>
                </c:pt>
                <c:pt idx="22">
                  <c:v>426.2145535714517</c:v>
                </c:pt>
                <c:pt idx="23">
                  <c:v>-87.52398809519946</c:v>
                </c:pt>
                <c:pt idx="24">
                  <c:v>6118.033452380972</c:v>
                </c:pt>
                <c:pt idx="25">
                  <c:v>10571.293293650815</c:v>
                </c:pt>
                <c:pt idx="26">
                  <c:v>14222.559246031771</c:v>
                </c:pt>
                <c:pt idx="27">
                  <c:v>17261.498531746038</c:v>
                </c:pt>
                <c:pt idx="28">
                  <c:v>24101.35067460322</c:v>
                </c:pt>
                <c:pt idx="29">
                  <c:v>31651.58906746033</c:v>
                </c:pt>
                <c:pt idx="30">
                  <c:v>42845.7613888889</c:v>
                </c:pt>
                <c:pt idx="31">
                  <c:v>36353.723888888926</c:v>
                </c:pt>
                <c:pt idx="32">
                  <c:v>25923.950277777767</c:v>
                </c:pt>
                <c:pt idx="33">
                  <c:v>23683.161388888897</c:v>
                </c:pt>
                <c:pt idx="34">
                  <c:v>28967.289090909093</c:v>
                </c:pt>
                <c:pt idx="35">
                  <c:v>-70077.97636363638</c:v>
                </c:pt>
              </c:numCache>
            </c:numRef>
          </c:val>
          <c:smooth val="0"/>
        </c:ser>
        <c:marker val="1"/>
        <c:axId val="50609187"/>
        <c:axId val="52829500"/>
      </c:lineChart>
      <c:catAx>
        <c:axId val="21337417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7819026"/>
        <c:crosses val="autoZero"/>
        <c:auto val="0"/>
        <c:lblOffset val="100"/>
        <c:tickLblSkip val="6"/>
        <c:noMultiLvlLbl val="0"/>
      </c:catAx>
      <c:valAx>
        <c:axId val="5781902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21337417"/>
        <c:crossesAt val="1"/>
        <c:crossBetween val="midCat"/>
        <c:dispUnits/>
      </c:valAx>
      <c:catAx>
        <c:axId val="50609187"/>
        <c:scaling>
          <c:orientation val="maxMin"/>
        </c:scaling>
        <c:axPos val="b"/>
        <c:delete val="1"/>
        <c:majorTickMark val="in"/>
        <c:minorTickMark val="none"/>
        <c:tickLblPos val="nextTo"/>
        <c:crossAx val="52829500"/>
        <c:crosses val="autoZero"/>
        <c:auto val="0"/>
        <c:lblOffset val="100"/>
        <c:noMultiLvlLbl val="0"/>
      </c:catAx>
      <c:valAx>
        <c:axId val="52829500"/>
        <c:scaling>
          <c:orientation val="minMax"/>
        </c:scaling>
        <c:axPos val="r"/>
        <c:delete val="1"/>
        <c:majorTickMark val="in"/>
        <c:minorTickMark val="none"/>
        <c:tickLblPos val="nextTo"/>
        <c:crossAx val="506091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0.75" bottom="0.75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5" right="0.25" top="0.25" bottom="0.25" header="0" footer="0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5" right="0.25" top="0.25" bottom="0.25" header="0" footer="0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5" right="0.25" top="0.25" bottom="0.25" header="0" footer="0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0.0425</cdr:y>
    </cdr:from>
    <cdr:to>
      <cdr:x>0.4225</cdr:x>
      <cdr:y>0.5735</cdr:y>
    </cdr:to>
    <cdr:graphicFrame>
      <cdr:nvGraphicFramePr>
        <cdr:cNvPr id="1" name="Chart 1"/>
        <cdr:cNvGraphicFramePr/>
      </cdr:nvGraphicFramePr>
      <cdr:xfrm>
        <a:off x="0" y="419100"/>
        <a:ext cx="6362700" cy="53149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10001250"/>
    <xdr:graphicFrame>
      <xdr:nvGraphicFramePr>
        <xdr:cNvPr id="1" name="Shape 1025"/>
        <xdr:cNvGraphicFramePr/>
      </xdr:nvGraphicFramePr>
      <xdr:xfrm>
        <a:off x="0" y="0"/>
        <a:ext cx="15059025" cy="1000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10001250"/>
    <xdr:graphicFrame>
      <xdr:nvGraphicFramePr>
        <xdr:cNvPr id="1" name="Shape 1025"/>
        <xdr:cNvGraphicFramePr/>
      </xdr:nvGraphicFramePr>
      <xdr:xfrm>
        <a:off x="0" y="0"/>
        <a:ext cx="15059025" cy="1000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10001250"/>
    <xdr:graphicFrame>
      <xdr:nvGraphicFramePr>
        <xdr:cNvPr id="1" name="Shape 1025"/>
        <xdr:cNvGraphicFramePr/>
      </xdr:nvGraphicFramePr>
      <xdr:xfrm>
        <a:off x="0" y="0"/>
        <a:ext cx="15059025" cy="1000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10001250"/>
    <xdr:graphicFrame>
      <xdr:nvGraphicFramePr>
        <xdr:cNvPr id="1" name="Shape 1025"/>
        <xdr:cNvGraphicFramePr/>
      </xdr:nvGraphicFramePr>
      <xdr:xfrm>
        <a:off x="0" y="0"/>
        <a:ext cx="15059025" cy="1000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647700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9347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showGridLines="0" showZeros="0" tabSelected="1" workbookViewId="0" topLeftCell="A3">
      <pane xSplit="1575" ySplit="765" topLeftCell="A25" activePane="bottomRight" state="split"/>
      <selection pane="topLeft" activeCell="D95" sqref="D95"/>
      <selection pane="topRight" activeCell="AD3" sqref="AD1:AD16384"/>
      <selection pane="bottomLeft" activeCell="A48" sqref="A48"/>
      <selection pane="bottomRight" activeCell="AD73" sqref="AD69:AD73"/>
    </sheetView>
  </sheetViews>
  <sheetFormatPr defaultColWidth="9.00390625" defaultRowHeight="12.75"/>
  <cols>
    <col min="1" max="1" width="11.25390625" style="5" customWidth="1"/>
    <col min="2" max="2" width="5.00390625" style="4" bestFit="1" customWidth="1"/>
    <col min="3" max="3" width="5.375" style="4" customWidth="1"/>
    <col min="4" max="4" width="7.375" style="4" customWidth="1"/>
    <col min="5" max="5" width="6.00390625" style="4" customWidth="1"/>
    <col min="6" max="8" width="5.625" style="4" customWidth="1"/>
    <col min="9" max="9" width="5.875" style="4" customWidth="1"/>
    <col min="10" max="10" width="6.25390625" style="4" customWidth="1"/>
    <col min="11" max="11" width="5.625" style="4" customWidth="1"/>
    <col min="12" max="12" width="4.25390625" style="4" customWidth="1"/>
    <col min="13" max="13" width="5.625" style="4" customWidth="1"/>
    <col min="14" max="14" width="4.625" style="4" customWidth="1"/>
    <col min="15" max="15" width="4.375" style="4" customWidth="1"/>
    <col min="16" max="16" width="8.625" style="4" customWidth="1"/>
    <col min="17" max="17" width="1.875" style="27" customWidth="1"/>
    <col min="18" max="18" width="4.875" style="4" customWidth="1"/>
    <col min="19" max="20" width="4.125" style="4" customWidth="1"/>
    <col min="21" max="21" width="4.00390625" style="4" customWidth="1"/>
    <col min="22" max="22" width="4.75390625" style="4" customWidth="1"/>
    <col min="23" max="23" width="4.625" style="4" customWidth="1"/>
    <col min="24" max="24" width="3.875" style="4" customWidth="1"/>
    <col min="25" max="27" width="4.875" style="4" customWidth="1"/>
    <col min="28" max="28" width="5.75390625" style="4" bestFit="1" customWidth="1"/>
    <col min="29" max="30" width="5.00390625" style="4" customWidth="1"/>
    <col min="31" max="31" width="4.125" style="4" customWidth="1"/>
    <col min="32" max="32" width="6.875" style="4" bestFit="1" customWidth="1"/>
    <col min="33" max="16384" width="10.75390625" style="5" customWidth="1"/>
  </cols>
  <sheetData>
    <row r="1" spans="1:19" ht="15.75">
      <c r="A1" s="1" t="s">
        <v>0</v>
      </c>
      <c r="B1" s="2"/>
      <c r="C1" s="2"/>
      <c r="D1" s="37"/>
      <c r="E1" s="37"/>
      <c r="F1" s="3"/>
      <c r="G1" s="3"/>
      <c r="H1" s="2"/>
      <c r="P1" s="2"/>
      <c r="R1" s="2"/>
      <c r="S1" s="2"/>
    </row>
    <row r="2" spans="1:19" ht="15.75">
      <c r="A2" s="7" t="s">
        <v>1</v>
      </c>
      <c r="B2" s="2"/>
      <c r="C2" s="2"/>
      <c r="D2" s="37"/>
      <c r="E2" s="37"/>
      <c r="F2" s="3"/>
      <c r="G2" s="3"/>
      <c r="H2" s="2"/>
      <c r="L2" s="27"/>
      <c r="P2" s="2"/>
      <c r="R2" s="2"/>
      <c r="S2" s="2"/>
    </row>
    <row r="3" spans="1:18" ht="13.5" customHeight="1">
      <c r="A3" s="8">
        <f ca="1">NOW()</f>
        <v>36859.38044201389</v>
      </c>
      <c r="B3" s="9"/>
      <c r="C3" s="9"/>
      <c r="F3" s="10"/>
      <c r="G3" s="10"/>
      <c r="H3" s="9"/>
      <c r="I3" s="4" t="s">
        <v>2</v>
      </c>
      <c r="P3" s="9"/>
      <c r="R3" s="9"/>
    </row>
    <row r="4" spans="1:35" ht="12.75" customHeight="1">
      <c r="A4" s="11"/>
      <c r="B4" s="12" t="s">
        <v>3</v>
      </c>
      <c r="C4" s="50" t="s">
        <v>10</v>
      </c>
      <c r="D4" s="62" t="s">
        <v>4</v>
      </c>
      <c r="E4" s="14" t="s">
        <v>5</v>
      </c>
      <c r="F4" s="14" t="s">
        <v>6</v>
      </c>
      <c r="G4" s="15" t="s">
        <v>7</v>
      </c>
      <c r="H4" s="13" t="s">
        <v>8</v>
      </c>
      <c r="I4" s="48" t="s">
        <v>9</v>
      </c>
      <c r="J4" s="48" t="s">
        <v>10</v>
      </c>
      <c r="K4" s="48" t="s">
        <v>11</v>
      </c>
      <c r="L4" s="48" t="s">
        <v>12</v>
      </c>
      <c r="M4" s="48" t="s">
        <v>13</v>
      </c>
      <c r="N4" s="48" t="s">
        <v>14</v>
      </c>
      <c r="O4" s="12" t="s">
        <v>15</v>
      </c>
      <c r="P4" s="50"/>
      <c r="Q4" s="13"/>
      <c r="R4" s="15" t="s">
        <v>16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2"/>
      <c r="AE4" s="13" t="s">
        <v>17</v>
      </c>
      <c r="AF4" s="12" t="s">
        <v>18</v>
      </c>
      <c r="AG4" s="72" t="s">
        <v>44</v>
      </c>
      <c r="AH4" s="72" t="s">
        <v>45</v>
      </c>
      <c r="AI4" s="72" t="s">
        <v>46</v>
      </c>
    </row>
    <row r="5" spans="1:35" ht="12.75" customHeight="1">
      <c r="A5" s="16"/>
      <c r="B5" s="17"/>
      <c r="C5" s="52">
        <v>2005</v>
      </c>
      <c r="D5" s="65">
        <v>2004</v>
      </c>
      <c r="E5" s="21">
        <v>2003</v>
      </c>
      <c r="F5" s="18">
        <v>2001</v>
      </c>
      <c r="G5" s="18">
        <v>1998</v>
      </c>
      <c r="H5" s="20">
        <v>1997</v>
      </c>
      <c r="I5" s="44">
        <v>1996</v>
      </c>
      <c r="J5" s="45">
        <v>1995</v>
      </c>
      <c r="K5" s="44">
        <v>1994</v>
      </c>
      <c r="L5" s="44">
        <v>1993</v>
      </c>
      <c r="M5" s="44">
        <v>1992</v>
      </c>
      <c r="N5" s="44">
        <v>1991</v>
      </c>
      <c r="O5" s="51">
        <v>1989</v>
      </c>
      <c r="P5" s="52"/>
      <c r="Q5" s="4"/>
      <c r="R5" s="19" t="s">
        <v>15</v>
      </c>
      <c r="S5" s="4" t="s">
        <v>19</v>
      </c>
      <c r="T5" s="4" t="s">
        <v>13</v>
      </c>
      <c r="U5" s="4" t="s">
        <v>12</v>
      </c>
      <c r="V5" s="4" t="s">
        <v>11</v>
      </c>
      <c r="W5" s="4" t="s">
        <v>10</v>
      </c>
      <c r="X5" s="27" t="s">
        <v>20</v>
      </c>
      <c r="Y5" s="4" t="s">
        <v>21</v>
      </c>
      <c r="Z5" s="4" t="s">
        <v>22</v>
      </c>
      <c r="AA5" s="4" t="s">
        <v>6</v>
      </c>
      <c r="AB5" s="4" t="s">
        <v>23</v>
      </c>
      <c r="AC5" s="4" t="s">
        <v>4</v>
      </c>
      <c r="AD5" s="17" t="s">
        <v>10</v>
      </c>
      <c r="AF5" s="17"/>
      <c r="AG5" s="73"/>
      <c r="AH5" s="73"/>
      <c r="AI5" s="73"/>
    </row>
    <row r="6" spans="1:35" ht="12.75" customHeight="1">
      <c r="A6" s="55" t="s">
        <v>24</v>
      </c>
      <c r="B6" s="56"/>
      <c r="C6" s="58"/>
      <c r="D6" s="64"/>
      <c r="E6" s="38"/>
      <c r="F6" s="21"/>
      <c r="G6" s="21"/>
      <c r="H6" s="19"/>
      <c r="I6" s="45"/>
      <c r="J6" s="53"/>
      <c r="K6" s="45"/>
      <c r="L6" s="45"/>
      <c r="M6" s="45"/>
      <c r="N6" s="45"/>
      <c r="O6" s="17"/>
      <c r="P6" s="52" t="s">
        <v>24</v>
      </c>
      <c r="Q6" s="4"/>
      <c r="R6" s="19"/>
      <c r="AD6" s="17"/>
      <c r="AF6" s="17"/>
      <c r="AG6" s="73"/>
      <c r="AH6" s="73"/>
      <c r="AI6" s="73"/>
    </row>
    <row r="7" spans="1:35" ht="12.75" customHeight="1">
      <c r="A7" s="22" t="s">
        <v>25</v>
      </c>
      <c r="B7" s="17"/>
      <c r="C7" s="52"/>
      <c r="D7" s="65"/>
      <c r="E7" s="21"/>
      <c r="F7" s="21"/>
      <c r="G7" s="21"/>
      <c r="H7" s="19"/>
      <c r="I7" s="45"/>
      <c r="J7" s="45"/>
      <c r="K7" s="45"/>
      <c r="L7" s="45"/>
      <c r="M7" s="45"/>
      <c r="N7" s="45">
        <v>5618</v>
      </c>
      <c r="O7" s="17">
        <v>7250</v>
      </c>
      <c r="P7" s="52" t="s">
        <v>25</v>
      </c>
      <c r="Q7" s="4"/>
      <c r="R7" s="19"/>
      <c r="AD7" s="17"/>
      <c r="AF7" s="17"/>
      <c r="AG7" s="73"/>
      <c r="AH7" s="73"/>
      <c r="AI7" s="73"/>
    </row>
    <row r="8" spans="1:35" ht="12.75" customHeight="1">
      <c r="A8" s="22">
        <v>32386</v>
      </c>
      <c r="B8" s="17"/>
      <c r="C8" s="52"/>
      <c r="D8" s="65"/>
      <c r="E8" s="21"/>
      <c r="F8" s="21"/>
      <c r="G8" s="21"/>
      <c r="H8" s="19"/>
      <c r="I8" s="45"/>
      <c r="J8" s="45"/>
      <c r="K8" s="45"/>
      <c r="L8" s="45"/>
      <c r="M8" s="45"/>
      <c r="N8" s="45"/>
      <c r="O8" s="17">
        <v>6950</v>
      </c>
      <c r="P8" s="52">
        <v>32386</v>
      </c>
      <c r="Q8" s="4"/>
      <c r="R8" s="19"/>
      <c r="AD8" s="17"/>
      <c r="AF8" s="17"/>
      <c r="AG8" s="73"/>
      <c r="AH8" s="73"/>
      <c r="AI8" s="73"/>
    </row>
    <row r="9" spans="1:35" ht="12.75" customHeight="1">
      <c r="A9" s="22">
        <v>32355</v>
      </c>
      <c r="B9" s="17"/>
      <c r="C9" s="52"/>
      <c r="D9" s="65"/>
      <c r="E9" s="45"/>
      <c r="F9" s="21"/>
      <c r="G9" s="21"/>
      <c r="H9" s="19"/>
      <c r="I9" s="45"/>
      <c r="J9" s="45"/>
      <c r="K9" s="45"/>
      <c r="L9" s="45"/>
      <c r="M9" s="45"/>
      <c r="N9" s="45"/>
      <c r="O9" s="17"/>
      <c r="P9" s="52">
        <v>32355</v>
      </c>
      <c r="Q9" s="4"/>
      <c r="R9" s="19"/>
      <c r="AD9" s="17"/>
      <c r="AF9" s="17"/>
      <c r="AG9" s="73"/>
      <c r="AH9" s="73"/>
      <c r="AI9" s="73"/>
    </row>
    <row r="10" spans="1:35" ht="12.75" customHeight="1">
      <c r="A10" s="22">
        <v>32324</v>
      </c>
      <c r="B10" s="17">
        <f aca="true" t="shared" si="0" ref="B10:B36">AVERAGE(D10:O10)</f>
        <v>5165.545454545455</v>
      </c>
      <c r="C10" s="52"/>
      <c r="D10" s="65"/>
      <c r="E10" s="21">
        <v>4287</v>
      </c>
      <c r="F10" s="39">
        <v>5169</v>
      </c>
      <c r="G10" s="21">
        <v>4911</v>
      </c>
      <c r="H10" s="19">
        <v>4374</v>
      </c>
      <c r="I10" s="45">
        <f>4032+1225</f>
        <v>5257</v>
      </c>
      <c r="J10" s="45">
        <v>5903</v>
      </c>
      <c r="K10" s="45">
        <v>4388</v>
      </c>
      <c r="L10" s="45">
        <v>6000</v>
      </c>
      <c r="M10" s="46">
        <v>5317</v>
      </c>
      <c r="N10" s="45">
        <v>5005</v>
      </c>
      <c r="O10" s="17">
        <v>6210</v>
      </c>
      <c r="P10" s="52">
        <v>32324</v>
      </c>
      <c r="Q10" s="4"/>
      <c r="R10" s="19">
        <f aca="true" t="shared" si="1" ref="R10:R45">O10-B10</f>
        <v>1044.454545454545</v>
      </c>
      <c r="S10" s="4">
        <f aca="true" t="shared" si="2" ref="S10:S45">N10-B10</f>
        <v>-160.54545454545496</v>
      </c>
      <c r="T10" s="4">
        <f aca="true" t="shared" si="3" ref="T10:T45">M10-B10</f>
        <v>151.45454545454504</v>
      </c>
      <c r="U10" s="4">
        <f aca="true" t="shared" si="4" ref="U10:U45">L10-B10</f>
        <v>834.454545454545</v>
      </c>
      <c r="V10" s="4">
        <f aca="true" t="shared" si="5" ref="V10:V45">$K10-$B10</f>
        <v>-777.545454545455</v>
      </c>
      <c r="W10" s="4">
        <f aca="true" t="shared" si="6" ref="W10:W45">$J10-$B10</f>
        <v>737.454545454545</v>
      </c>
      <c r="X10" s="4">
        <f aca="true" t="shared" si="7" ref="X10:X43">$I10-$B10</f>
        <v>91.45454545454504</v>
      </c>
      <c r="Y10" s="4">
        <f aca="true" t="shared" si="8" ref="Y10:Y45">$H10-$B10</f>
        <v>-791.545454545455</v>
      </c>
      <c r="Z10" s="4">
        <f aca="true" t="shared" si="9" ref="Z10:Z45">$G10-$B10</f>
        <v>-254.54545454545496</v>
      </c>
      <c r="AA10" s="4">
        <f aca="true" t="shared" si="10" ref="AA10:AA45">$F10-$B10</f>
        <v>3.454545454545041</v>
      </c>
      <c r="AB10" s="4">
        <f aca="true" t="shared" si="11" ref="AB10:AB19">$E10-$B10</f>
        <v>-878.545454545455</v>
      </c>
      <c r="AD10" s="17"/>
      <c r="AE10" s="4">
        <f aca="true" t="shared" si="12" ref="AE10:AE44">B10-B11</f>
        <v>477.4454545454555</v>
      </c>
      <c r="AF10" s="17">
        <f>(AE10+AE11)/2</f>
        <v>346.51300505050494</v>
      </c>
      <c r="AG10" s="74">
        <f>AVERAGE(I10:O10)</f>
        <v>5440</v>
      </c>
      <c r="AH10" s="74">
        <f>AVERAGE(F10:H10)</f>
        <v>4818</v>
      </c>
      <c r="AI10" s="74">
        <f>AG10-AH10</f>
        <v>622</v>
      </c>
    </row>
    <row r="11" spans="1:35" ht="12.75" customHeight="1">
      <c r="A11" s="22">
        <v>32294</v>
      </c>
      <c r="B11" s="17">
        <f t="shared" si="0"/>
        <v>4688.099999999999</v>
      </c>
      <c r="C11" s="52"/>
      <c r="D11" s="65">
        <v>4711</v>
      </c>
      <c r="E11" s="21">
        <v>4023</v>
      </c>
      <c r="F11" s="21">
        <v>4135</v>
      </c>
      <c r="G11" s="39">
        <f>G$15+4*(G$10-G$15)/5</f>
        <v>4629.2</v>
      </c>
      <c r="H11" s="41">
        <v>3600</v>
      </c>
      <c r="I11" s="45">
        <v>4620</v>
      </c>
      <c r="J11" s="45">
        <v>5548</v>
      </c>
      <c r="K11" s="46">
        <v>4177</v>
      </c>
      <c r="L11" s="45">
        <v>5610</v>
      </c>
      <c r="M11" s="45">
        <v>4991</v>
      </c>
      <c r="N11" s="45">
        <v>4693</v>
      </c>
      <c r="O11" s="17">
        <v>5520</v>
      </c>
      <c r="P11" s="52">
        <v>32294</v>
      </c>
      <c r="Q11" s="4"/>
      <c r="R11" s="19">
        <f t="shared" si="1"/>
        <v>831.9000000000005</v>
      </c>
      <c r="S11" s="4">
        <f t="shared" si="2"/>
        <v>4.900000000000546</v>
      </c>
      <c r="T11" s="4">
        <f t="shared" si="3"/>
        <v>302.90000000000055</v>
      </c>
      <c r="U11" s="4">
        <f t="shared" si="4"/>
        <v>921.9000000000005</v>
      </c>
      <c r="V11" s="4">
        <f t="shared" si="5"/>
        <v>-511.09999999999945</v>
      </c>
      <c r="W11" s="4">
        <f t="shared" si="6"/>
        <v>859.9000000000005</v>
      </c>
      <c r="X11" s="4">
        <f t="shared" si="7"/>
        <v>-68.09999999999945</v>
      </c>
      <c r="Y11" s="4">
        <f t="shared" si="8"/>
        <v>-1088.0999999999995</v>
      </c>
      <c r="Z11" s="4">
        <f t="shared" si="9"/>
        <v>-58.899999999999636</v>
      </c>
      <c r="AA11" s="4">
        <f t="shared" si="10"/>
        <v>-553.0999999999995</v>
      </c>
      <c r="AB11" s="4">
        <f t="shared" si="11"/>
        <v>-665.0999999999995</v>
      </c>
      <c r="AC11" s="4">
        <f aca="true" t="shared" si="13" ref="AC11:AC45">$D11-$B11</f>
        <v>22.900000000000546</v>
      </c>
      <c r="AD11" s="17"/>
      <c r="AE11" s="4">
        <f t="shared" si="12"/>
        <v>215.58055555555438</v>
      </c>
      <c r="AF11" s="17">
        <f>(AE10+AE11+AE12)/3</f>
        <v>287.4257070707072</v>
      </c>
      <c r="AG11" s="74">
        <f aca="true" t="shared" si="14" ref="AG11:AG44">AVERAGE(I11:O11)</f>
        <v>5022.714285714285</v>
      </c>
      <c r="AH11" s="74">
        <f aca="true" t="shared" si="15" ref="AH11:AH45">AVERAGE(F11:H11)</f>
        <v>4121.400000000001</v>
      </c>
      <c r="AI11" s="74">
        <f aca="true" t="shared" si="16" ref="AI11:AI45">AG11-AH11</f>
        <v>901.3142857142848</v>
      </c>
    </row>
    <row r="12" spans="1:35" ht="12.75" customHeight="1">
      <c r="A12" s="22">
        <v>32263</v>
      </c>
      <c r="B12" s="17">
        <f t="shared" si="0"/>
        <v>4472.519444444445</v>
      </c>
      <c r="C12" s="52"/>
      <c r="D12" s="65">
        <v>4469</v>
      </c>
      <c r="E12" s="21">
        <v>3890</v>
      </c>
      <c r="F12" s="21">
        <v>3862</v>
      </c>
      <c r="G12" s="39">
        <f>G$15+3*(G$10-G$15)/5</f>
        <v>4347.4</v>
      </c>
      <c r="H12" s="41">
        <f>3290+(4/3)*130</f>
        <v>3463.3333333333335</v>
      </c>
      <c r="I12" s="45">
        <v>4285</v>
      </c>
      <c r="J12" s="46">
        <v>5430</v>
      </c>
      <c r="K12" s="45">
        <f>(K11+K13)/2</f>
        <v>4023.5</v>
      </c>
      <c r="L12" s="45">
        <v>5319</v>
      </c>
      <c r="M12" s="46">
        <f>4779+9</f>
        <v>4788</v>
      </c>
      <c r="N12" s="45">
        <v>4533</v>
      </c>
      <c r="O12" s="17">
        <v>5260</v>
      </c>
      <c r="P12" s="52">
        <v>32263</v>
      </c>
      <c r="Q12" s="4"/>
      <c r="R12" s="19">
        <f t="shared" si="1"/>
        <v>787.4805555555549</v>
      </c>
      <c r="S12" s="4">
        <f t="shared" si="2"/>
        <v>60.48055555555493</v>
      </c>
      <c r="T12" s="4">
        <f t="shared" si="3"/>
        <v>315.48055555555493</v>
      </c>
      <c r="U12" s="4">
        <f t="shared" si="4"/>
        <v>846.4805555555549</v>
      </c>
      <c r="V12" s="4">
        <f t="shared" si="5"/>
        <v>-449.01944444444507</v>
      </c>
      <c r="W12" s="4">
        <f t="shared" si="6"/>
        <v>957.4805555555549</v>
      </c>
      <c r="X12" s="4">
        <f t="shared" si="7"/>
        <v>-187.51944444444507</v>
      </c>
      <c r="Y12" s="4">
        <f t="shared" si="8"/>
        <v>-1009.1861111111116</v>
      </c>
      <c r="Z12" s="4">
        <f t="shared" si="9"/>
        <v>-125.11944444444543</v>
      </c>
      <c r="AA12" s="4">
        <f t="shared" si="10"/>
        <v>-610.5194444444451</v>
      </c>
      <c r="AB12" s="4">
        <f t="shared" si="11"/>
        <v>-582.5194444444451</v>
      </c>
      <c r="AC12" s="4">
        <f t="shared" si="13"/>
        <v>-3.519444444445071</v>
      </c>
      <c r="AD12" s="17"/>
      <c r="AE12" s="4">
        <f t="shared" si="12"/>
        <v>169.25111111111164</v>
      </c>
      <c r="AF12" s="17">
        <f aca="true" t="shared" si="17" ref="AF12:AF17">(AE10+AE11+AE12+AE13+AE14)/5</f>
        <v>245.31186868686882</v>
      </c>
      <c r="AG12" s="74">
        <f t="shared" si="14"/>
        <v>4805.5</v>
      </c>
      <c r="AH12" s="74">
        <f t="shared" si="15"/>
        <v>3890.911111111111</v>
      </c>
      <c r="AI12" s="74">
        <f t="shared" si="16"/>
        <v>914.588888888889</v>
      </c>
    </row>
    <row r="13" spans="1:35" ht="12.75" customHeight="1">
      <c r="A13" s="22">
        <v>32233</v>
      </c>
      <c r="B13" s="17">
        <f t="shared" si="0"/>
        <v>4303.268333333333</v>
      </c>
      <c r="C13" s="52"/>
      <c r="D13" s="88">
        <f>(D12+D14)/2</f>
        <v>4400</v>
      </c>
      <c r="E13" s="21">
        <v>3770</v>
      </c>
      <c r="F13" s="21">
        <v>3567</v>
      </c>
      <c r="G13" s="39">
        <f>G$15+2*(G$10-G$15)/5</f>
        <v>4065.6</v>
      </c>
      <c r="H13" s="41">
        <v>3290</v>
      </c>
      <c r="I13" s="46">
        <f>3847+(4285-3847)/2</f>
        <v>4066</v>
      </c>
      <c r="J13" s="46">
        <f>5*(J$12-J$18)/6+J$18</f>
        <v>5275</v>
      </c>
      <c r="K13" s="45">
        <v>3870</v>
      </c>
      <c r="L13" s="45">
        <f>L15+(L12-L15)*0.66</f>
        <v>5061.62</v>
      </c>
      <c r="M13" s="46">
        <f>4746+6</f>
        <v>4752</v>
      </c>
      <c r="N13" s="45">
        <v>4482</v>
      </c>
      <c r="O13" s="17">
        <v>5040</v>
      </c>
      <c r="P13" s="52">
        <v>32233</v>
      </c>
      <c r="Q13" s="4"/>
      <c r="R13" s="19">
        <f t="shared" si="1"/>
        <v>736.7316666666666</v>
      </c>
      <c r="S13" s="4">
        <f t="shared" si="2"/>
        <v>178.73166666666657</v>
      </c>
      <c r="T13" s="4">
        <f t="shared" si="3"/>
        <v>448.73166666666657</v>
      </c>
      <c r="U13" s="4">
        <f t="shared" si="4"/>
        <v>758.3516666666665</v>
      </c>
      <c r="V13" s="4">
        <f t="shared" si="5"/>
        <v>-433.26833333333343</v>
      </c>
      <c r="W13" s="4">
        <f t="shared" si="6"/>
        <v>971.7316666666666</v>
      </c>
      <c r="X13" s="4">
        <f t="shared" si="7"/>
        <v>-237.26833333333343</v>
      </c>
      <c r="Y13" s="4">
        <f t="shared" si="8"/>
        <v>-1013.2683333333334</v>
      </c>
      <c r="Z13" s="4">
        <f t="shared" si="9"/>
        <v>-237.66833333333352</v>
      </c>
      <c r="AA13" s="4">
        <f t="shared" si="10"/>
        <v>-736.2683333333334</v>
      </c>
      <c r="AB13" s="4">
        <f t="shared" si="11"/>
        <v>-533.2683333333334</v>
      </c>
      <c r="AC13" s="4">
        <f t="shared" si="13"/>
        <v>96.73166666666657</v>
      </c>
      <c r="AD13" s="17"/>
      <c r="AE13" s="4">
        <f t="shared" si="12"/>
        <v>164.33294999999998</v>
      </c>
      <c r="AF13" s="17">
        <f t="shared" si="17"/>
        <v>178.53990740740727</v>
      </c>
      <c r="AG13" s="74">
        <f t="shared" si="14"/>
        <v>4649.517142857143</v>
      </c>
      <c r="AH13" s="74">
        <f t="shared" si="15"/>
        <v>3640.866666666667</v>
      </c>
      <c r="AI13" s="74">
        <f t="shared" si="16"/>
        <v>1008.6504761904762</v>
      </c>
    </row>
    <row r="14" spans="1:35" ht="12.75" customHeight="1">
      <c r="A14" s="22">
        <v>32202</v>
      </c>
      <c r="B14" s="17">
        <f t="shared" si="0"/>
        <v>4138.935383333333</v>
      </c>
      <c r="C14" s="52"/>
      <c r="D14" s="65">
        <f>4336-5</f>
        <v>4331</v>
      </c>
      <c r="E14" s="21">
        <v>3683</v>
      </c>
      <c r="F14" s="21">
        <v>3389</v>
      </c>
      <c r="G14" s="39">
        <f>G$15+1*(G$10-G$15)/5</f>
        <v>3783.8</v>
      </c>
      <c r="H14" s="41">
        <v>3200</v>
      </c>
      <c r="I14" s="45">
        <v>3847</v>
      </c>
      <c r="J14" s="46">
        <f>4*(J$12-J$18)/6+J$18</f>
        <v>5120</v>
      </c>
      <c r="K14" s="46">
        <f>(3*K13+K17)/4</f>
        <v>3787.75</v>
      </c>
      <c r="L14" s="45">
        <f>L16+(L13-L16)*0.33</f>
        <v>4619.6746</v>
      </c>
      <c r="M14" s="45">
        <v>4682</v>
      </c>
      <c r="N14" s="45">
        <v>4324</v>
      </c>
      <c r="O14" s="17">
        <v>4900</v>
      </c>
      <c r="P14" s="52">
        <v>32202</v>
      </c>
      <c r="Q14" s="4"/>
      <c r="R14" s="19">
        <f t="shared" si="1"/>
        <v>761.0646166666666</v>
      </c>
      <c r="S14" s="4">
        <f t="shared" si="2"/>
        <v>185.06461666666655</v>
      </c>
      <c r="T14" s="4">
        <f t="shared" si="3"/>
        <v>543.0646166666666</v>
      </c>
      <c r="U14" s="4">
        <f t="shared" si="4"/>
        <v>480.73921666666683</v>
      </c>
      <c r="V14" s="4">
        <f t="shared" si="5"/>
        <v>-351.18538333333345</v>
      </c>
      <c r="W14" s="4">
        <f t="shared" si="6"/>
        <v>981.0646166666666</v>
      </c>
      <c r="X14" s="4">
        <f t="shared" si="7"/>
        <v>-291.93538333333345</v>
      </c>
      <c r="Y14" s="4">
        <f t="shared" si="8"/>
        <v>-938.9353833333334</v>
      </c>
      <c r="Z14" s="4">
        <f t="shared" si="9"/>
        <v>-355.13538333333327</v>
      </c>
      <c r="AA14" s="4">
        <f t="shared" si="10"/>
        <v>-749.9353833333334</v>
      </c>
      <c r="AB14" s="4">
        <f t="shared" si="11"/>
        <v>-455.93538333333345</v>
      </c>
      <c r="AC14" s="4">
        <f t="shared" si="13"/>
        <v>192.06461666666655</v>
      </c>
      <c r="AD14" s="17"/>
      <c r="AE14" s="4">
        <f t="shared" si="12"/>
        <v>199.9492722222226</v>
      </c>
      <c r="AF14" s="17">
        <f t="shared" si="17"/>
        <v>167.878888888889</v>
      </c>
      <c r="AG14" s="74">
        <f t="shared" si="14"/>
        <v>4468.6320857142855</v>
      </c>
      <c r="AH14" s="74">
        <f t="shared" si="15"/>
        <v>3457.6</v>
      </c>
      <c r="AI14" s="74">
        <f t="shared" si="16"/>
        <v>1011.0320857142856</v>
      </c>
    </row>
    <row r="15" spans="1:35" ht="12.75" customHeight="1">
      <c r="A15" s="22">
        <v>32174</v>
      </c>
      <c r="B15" s="17">
        <f t="shared" si="0"/>
        <v>3938.986111111111</v>
      </c>
      <c r="C15" s="52"/>
      <c r="D15" s="65">
        <f>4210-5</f>
        <v>4205</v>
      </c>
      <c r="E15" s="21">
        <v>3594</v>
      </c>
      <c r="F15" s="21">
        <v>3273</v>
      </c>
      <c r="G15" s="21">
        <v>3502</v>
      </c>
      <c r="H15" s="41">
        <f>H17+2*(H14-H17)/3</f>
        <v>3105.3333333333335</v>
      </c>
      <c r="I15" s="45">
        <v>3723</v>
      </c>
      <c r="J15" s="46">
        <f>3*(J$12-J$18)/6+J$18</f>
        <v>4965</v>
      </c>
      <c r="K15" s="46">
        <f>(2*K13+2*K17)/4</f>
        <v>3705.5</v>
      </c>
      <c r="L15" s="45">
        <v>4562</v>
      </c>
      <c r="M15" s="45">
        <v>4247</v>
      </c>
      <c r="N15" s="45">
        <v>4106</v>
      </c>
      <c r="O15" s="17">
        <v>4280</v>
      </c>
      <c r="P15" s="52">
        <v>32174</v>
      </c>
      <c r="Q15" s="4"/>
      <c r="R15" s="19">
        <f t="shared" si="1"/>
        <v>341.01388888888914</v>
      </c>
      <c r="S15" s="4">
        <f t="shared" si="2"/>
        <v>167.01388888888914</v>
      </c>
      <c r="T15" s="4">
        <f t="shared" si="3"/>
        <v>308.01388888888914</v>
      </c>
      <c r="U15" s="4">
        <f t="shared" si="4"/>
        <v>623.0138888888891</v>
      </c>
      <c r="V15" s="4">
        <f t="shared" si="5"/>
        <v>-233.48611111111086</v>
      </c>
      <c r="W15" s="4">
        <f t="shared" si="6"/>
        <v>1026.0138888888891</v>
      </c>
      <c r="X15" s="4">
        <f t="shared" si="7"/>
        <v>-215.98611111111086</v>
      </c>
      <c r="Y15" s="4">
        <f t="shared" si="8"/>
        <v>-833.6527777777774</v>
      </c>
      <c r="Z15" s="4">
        <f t="shared" si="9"/>
        <v>-436.98611111111086</v>
      </c>
      <c r="AA15" s="4">
        <f t="shared" si="10"/>
        <v>-665.9861111111109</v>
      </c>
      <c r="AB15" s="4">
        <f t="shared" si="11"/>
        <v>-344.98611111111086</v>
      </c>
      <c r="AC15" s="4">
        <f t="shared" si="13"/>
        <v>266.01388888888914</v>
      </c>
      <c r="AD15" s="17"/>
      <c r="AE15" s="4">
        <f t="shared" si="12"/>
        <v>143.5856481481478</v>
      </c>
      <c r="AF15" s="17">
        <f t="shared" si="17"/>
        <v>162.90644444444442</v>
      </c>
      <c r="AG15" s="74">
        <f t="shared" si="14"/>
        <v>4226.928571428572</v>
      </c>
      <c r="AH15" s="74">
        <f t="shared" si="15"/>
        <v>3293.444444444445</v>
      </c>
      <c r="AI15" s="74">
        <f t="shared" si="16"/>
        <v>933.4841269841268</v>
      </c>
    </row>
    <row r="16" spans="1:35" ht="12.75">
      <c r="A16" s="22">
        <v>32143</v>
      </c>
      <c r="B16" s="23">
        <f t="shared" si="0"/>
        <v>3795.400462962963</v>
      </c>
      <c r="C16" s="54"/>
      <c r="D16" s="66">
        <f>3913-5</f>
        <v>3908</v>
      </c>
      <c r="E16" s="24">
        <v>3448</v>
      </c>
      <c r="F16" s="24">
        <v>3187</v>
      </c>
      <c r="G16" s="24">
        <v>3384</v>
      </c>
      <c r="H16" s="42">
        <f>H18+2*(H15-H18)/3</f>
        <v>3005.5555555555557</v>
      </c>
      <c r="I16" s="45">
        <v>3631</v>
      </c>
      <c r="J16" s="46">
        <f>2*(J$12-J$18)/6+J$18</f>
        <v>4810</v>
      </c>
      <c r="K16" s="46">
        <f>(K13+3*K17)/4</f>
        <v>3623.25</v>
      </c>
      <c r="L16" s="45">
        <v>4402</v>
      </c>
      <c r="M16" s="45">
        <v>4110</v>
      </c>
      <c r="N16" s="45">
        <v>4036</v>
      </c>
      <c r="O16" s="17">
        <v>4000</v>
      </c>
      <c r="P16" s="52">
        <v>32143</v>
      </c>
      <c r="Q16" s="4"/>
      <c r="R16" s="19">
        <f t="shared" si="1"/>
        <v>204.59953703703695</v>
      </c>
      <c r="S16" s="4">
        <f t="shared" si="2"/>
        <v>240.59953703703695</v>
      </c>
      <c r="T16" s="4">
        <f t="shared" si="3"/>
        <v>314.59953703703695</v>
      </c>
      <c r="U16" s="4">
        <f t="shared" si="4"/>
        <v>606.599537037037</v>
      </c>
      <c r="V16" s="4">
        <f t="shared" si="5"/>
        <v>-172.15046296296305</v>
      </c>
      <c r="W16" s="4">
        <f t="shared" si="6"/>
        <v>1014.599537037037</v>
      </c>
      <c r="X16" s="4">
        <f t="shared" si="7"/>
        <v>-164.40046296296305</v>
      </c>
      <c r="Y16" s="25">
        <f t="shared" si="8"/>
        <v>-789.8449074074074</v>
      </c>
      <c r="Z16" s="25">
        <f t="shared" si="9"/>
        <v>-411.40046296296305</v>
      </c>
      <c r="AA16" s="25">
        <f t="shared" si="10"/>
        <v>-608.400462962963</v>
      </c>
      <c r="AB16" s="25">
        <f t="shared" si="11"/>
        <v>-347.40046296296305</v>
      </c>
      <c r="AC16" s="25">
        <f t="shared" si="13"/>
        <v>112.59953703703695</v>
      </c>
      <c r="AD16" s="23"/>
      <c r="AE16" s="4">
        <f t="shared" si="12"/>
        <v>162.27546296296305</v>
      </c>
      <c r="AF16" s="17">
        <f t="shared" si="17"/>
        <v>157.18429888888895</v>
      </c>
      <c r="AG16" s="71">
        <f t="shared" si="14"/>
        <v>4087.464285714286</v>
      </c>
      <c r="AH16" s="71">
        <f t="shared" si="15"/>
        <v>3192.1851851851848</v>
      </c>
      <c r="AI16" s="71">
        <f t="shared" si="16"/>
        <v>895.279100529101</v>
      </c>
    </row>
    <row r="17" spans="1:35" ht="12.75" customHeight="1">
      <c r="A17" s="26">
        <v>32112</v>
      </c>
      <c r="B17" s="17">
        <f t="shared" si="0"/>
        <v>3633.125</v>
      </c>
      <c r="C17" s="52"/>
      <c r="D17" s="88">
        <f>(D16+D18)/2</f>
        <v>3757.5</v>
      </c>
      <c r="E17" s="21">
        <v>3218</v>
      </c>
      <c r="F17" s="14">
        <v>3069</v>
      </c>
      <c r="G17" s="21">
        <v>3257</v>
      </c>
      <c r="H17" s="19">
        <v>2916</v>
      </c>
      <c r="I17" s="48">
        <v>3362</v>
      </c>
      <c r="J17" s="49">
        <f>1*(J$12-J$18)/6+J$18</f>
        <v>4655</v>
      </c>
      <c r="K17" s="48">
        <v>3541</v>
      </c>
      <c r="L17" s="48">
        <v>4216</v>
      </c>
      <c r="M17" s="48">
        <v>3988</v>
      </c>
      <c r="N17" s="48">
        <v>3858</v>
      </c>
      <c r="O17" s="12">
        <v>3760</v>
      </c>
      <c r="P17" s="50">
        <v>32112</v>
      </c>
      <c r="Q17" s="13"/>
      <c r="R17" s="15">
        <f t="shared" si="1"/>
        <v>126.875</v>
      </c>
      <c r="S17" s="13">
        <f t="shared" si="2"/>
        <v>224.875</v>
      </c>
      <c r="T17" s="13">
        <f t="shared" si="3"/>
        <v>354.875</v>
      </c>
      <c r="U17" s="13">
        <f t="shared" si="4"/>
        <v>582.875</v>
      </c>
      <c r="V17" s="13">
        <f t="shared" si="5"/>
        <v>-92.125</v>
      </c>
      <c r="W17" s="13">
        <f t="shared" si="6"/>
        <v>1021.875</v>
      </c>
      <c r="X17" s="13">
        <f t="shared" si="7"/>
        <v>-271.125</v>
      </c>
      <c r="Y17" s="4">
        <f t="shared" si="8"/>
        <v>-717.125</v>
      </c>
      <c r="Z17" s="4">
        <f t="shared" si="9"/>
        <v>-376.125</v>
      </c>
      <c r="AA17" s="4">
        <f t="shared" si="10"/>
        <v>-564.125</v>
      </c>
      <c r="AB17" s="4">
        <f t="shared" si="11"/>
        <v>-415.125</v>
      </c>
      <c r="AC17" s="4">
        <f t="shared" si="13"/>
        <v>124.375</v>
      </c>
      <c r="AD17" s="17"/>
      <c r="AE17" s="13">
        <f t="shared" si="12"/>
        <v>144.3888888888887</v>
      </c>
      <c r="AF17" s="12">
        <f t="shared" si="17"/>
        <v>131.79722222222216</v>
      </c>
      <c r="AG17" s="74">
        <f t="shared" si="14"/>
        <v>3911.4285714285716</v>
      </c>
      <c r="AH17" s="74">
        <f t="shared" si="15"/>
        <v>3080.6666666666665</v>
      </c>
      <c r="AI17" s="74">
        <f t="shared" si="16"/>
        <v>830.761904761905</v>
      </c>
    </row>
    <row r="18" spans="1:35" ht="12.75" customHeight="1">
      <c r="A18" s="22">
        <v>32082</v>
      </c>
      <c r="B18" s="17">
        <f t="shared" si="0"/>
        <v>3488.7361111111113</v>
      </c>
      <c r="C18" s="52"/>
      <c r="D18" s="65">
        <f>3607</f>
        <v>3607</v>
      </c>
      <c r="E18" s="39">
        <f>E20+2*(E17-E20)/3</f>
        <v>3136.3333333333335</v>
      </c>
      <c r="F18" s="21">
        <v>2996</v>
      </c>
      <c r="G18" s="21">
        <v>3117</v>
      </c>
      <c r="H18" s="41">
        <f>5*(H$17-H$23)/6+H$23</f>
        <v>2806</v>
      </c>
      <c r="I18" s="45">
        <v>3140</v>
      </c>
      <c r="J18" s="46">
        <v>4500</v>
      </c>
      <c r="K18" s="46">
        <f>(K17+K19)/2</f>
        <v>3441.5</v>
      </c>
      <c r="L18" s="45">
        <f>L19+92</f>
        <v>4003</v>
      </c>
      <c r="M18" s="45">
        <v>3895</v>
      </c>
      <c r="N18" s="45">
        <v>3553</v>
      </c>
      <c r="O18" s="17">
        <v>3670</v>
      </c>
      <c r="P18" s="52">
        <v>32082</v>
      </c>
      <c r="Q18" s="4"/>
      <c r="R18" s="19">
        <f t="shared" si="1"/>
        <v>181.2638888888887</v>
      </c>
      <c r="S18" s="4">
        <f t="shared" si="2"/>
        <v>64.26388888888869</v>
      </c>
      <c r="T18" s="4">
        <f t="shared" si="3"/>
        <v>406.2638888888887</v>
      </c>
      <c r="U18" s="4">
        <f t="shared" si="4"/>
        <v>514.2638888888887</v>
      </c>
      <c r="V18" s="4">
        <f t="shared" si="5"/>
        <v>-47.23611111111131</v>
      </c>
      <c r="W18" s="4">
        <f t="shared" si="6"/>
        <v>1011.2638888888887</v>
      </c>
      <c r="X18" s="4">
        <f t="shared" si="7"/>
        <v>-348.7361111111113</v>
      </c>
      <c r="Y18" s="4">
        <f t="shared" si="8"/>
        <v>-682.7361111111113</v>
      </c>
      <c r="Z18" s="4">
        <f t="shared" si="9"/>
        <v>-371.7361111111113</v>
      </c>
      <c r="AA18" s="4">
        <f t="shared" si="10"/>
        <v>-492.7361111111113</v>
      </c>
      <c r="AB18" s="4">
        <f t="shared" si="11"/>
        <v>-352.4027777777778</v>
      </c>
      <c r="AC18" s="4">
        <f t="shared" si="13"/>
        <v>118.26388888888869</v>
      </c>
      <c r="AD18" s="17"/>
      <c r="AE18" s="4">
        <f t="shared" si="12"/>
        <v>135.72222222222263</v>
      </c>
      <c r="AF18" s="17">
        <f>(AE16+AE17+AE18+AE19)/4</f>
        <v>128.85011574074076</v>
      </c>
      <c r="AG18" s="74">
        <f t="shared" si="14"/>
        <v>3743.214285714286</v>
      </c>
      <c r="AH18" s="74">
        <f t="shared" si="15"/>
        <v>2973</v>
      </c>
      <c r="AI18" s="74">
        <f t="shared" si="16"/>
        <v>770.2142857142858</v>
      </c>
    </row>
    <row r="19" spans="1:35" ht="12.75" customHeight="1">
      <c r="A19" s="22">
        <v>32051</v>
      </c>
      <c r="B19" s="17">
        <f t="shared" si="0"/>
        <v>3353.0138888888887</v>
      </c>
      <c r="C19" s="52"/>
      <c r="D19" s="65">
        <f>2723+742+90+4</f>
        <v>3559</v>
      </c>
      <c r="E19" s="39">
        <f>E21+1*(E17-E20)/3</f>
        <v>2932.1666666666665</v>
      </c>
      <c r="F19" s="21">
        <v>2899</v>
      </c>
      <c r="G19" s="21">
        <v>2887</v>
      </c>
      <c r="H19" s="41">
        <f>4*(H$17-H$23)/6+H$23</f>
        <v>2696</v>
      </c>
      <c r="I19" s="45">
        <v>3030</v>
      </c>
      <c r="J19" s="46">
        <v>4350</v>
      </c>
      <c r="K19" s="45">
        <v>3342</v>
      </c>
      <c r="L19" s="45">
        <f>3887+12+12</f>
        <v>3911</v>
      </c>
      <c r="M19" s="45">
        <v>3840</v>
      </c>
      <c r="N19" s="45">
        <v>3210</v>
      </c>
      <c r="O19" s="17">
        <v>3580</v>
      </c>
      <c r="P19" s="52">
        <v>32051</v>
      </c>
      <c r="Q19" s="4"/>
      <c r="R19" s="19">
        <f t="shared" si="1"/>
        <v>226.9861111111113</v>
      </c>
      <c r="S19" s="4">
        <f t="shared" si="2"/>
        <v>-143.0138888888887</v>
      </c>
      <c r="T19" s="4">
        <f t="shared" si="3"/>
        <v>486.9861111111113</v>
      </c>
      <c r="U19" s="4">
        <f t="shared" si="4"/>
        <v>557.9861111111113</v>
      </c>
      <c r="V19" s="4">
        <f t="shared" si="5"/>
        <v>-11.013888888888687</v>
      </c>
      <c r="W19" s="4">
        <f t="shared" si="6"/>
        <v>996.9861111111113</v>
      </c>
      <c r="X19" s="4">
        <f t="shared" si="7"/>
        <v>-323.0138888888887</v>
      </c>
      <c r="Y19" s="4">
        <f t="shared" si="8"/>
        <v>-657.0138888888887</v>
      </c>
      <c r="Z19" s="4">
        <f t="shared" si="9"/>
        <v>-466.0138888888887</v>
      </c>
      <c r="AA19" s="4">
        <f t="shared" si="10"/>
        <v>-454.0138888888887</v>
      </c>
      <c r="AB19" s="4">
        <f t="shared" si="11"/>
        <v>-420.8472222222222</v>
      </c>
      <c r="AC19" s="4">
        <f t="shared" si="13"/>
        <v>205.9861111111113</v>
      </c>
      <c r="AD19" s="17"/>
      <c r="AE19" s="4">
        <f t="shared" si="12"/>
        <v>73.01388888888869</v>
      </c>
      <c r="AF19" s="17">
        <f>(AE17+AE18+AE19)/3</f>
        <v>117.70833333333333</v>
      </c>
      <c r="AG19" s="74">
        <f t="shared" si="14"/>
        <v>3609</v>
      </c>
      <c r="AH19" s="74">
        <f t="shared" si="15"/>
        <v>2827.3333333333335</v>
      </c>
      <c r="AI19" s="74">
        <f t="shared" si="16"/>
        <v>781.6666666666665</v>
      </c>
    </row>
    <row r="20" spans="1:35" ht="12.75" customHeight="1">
      <c r="A20" s="22">
        <v>32021</v>
      </c>
      <c r="B20" s="17">
        <f>AVERAGE(D20:O20)</f>
        <v>3280</v>
      </c>
      <c r="C20" s="90">
        <v>2955</v>
      </c>
      <c r="D20" s="65">
        <v>3524</v>
      </c>
      <c r="E20" s="21">
        <v>2973</v>
      </c>
      <c r="F20" s="21">
        <v>2816</v>
      </c>
      <c r="G20" s="21">
        <v>2757</v>
      </c>
      <c r="H20" s="41">
        <f>3*(H$17-H$23)/6+H$23</f>
        <v>2586</v>
      </c>
      <c r="I20" s="45">
        <v>2949</v>
      </c>
      <c r="J20" s="46">
        <v>4300</v>
      </c>
      <c r="K20" s="46">
        <v>3300</v>
      </c>
      <c r="L20" s="45">
        <f>L21+261+36+4+268+9</f>
        <v>3753</v>
      </c>
      <c r="M20" s="45">
        <v>3780</v>
      </c>
      <c r="N20" s="45">
        <v>3162</v>
      </c>
      <c r="O20" s="17">
        <v>3460</v>
      </c>
      <c r="P20" s="52">
        <v>32021</v>
      </c>
      <c r="Q20" s="4"/>
      <c r="R20" s="19">
        <f t="shared" si="1"/>
        <v>180</v>
      </c>
      <c r="S20" s="4">
        <f t="shared" si="2"/>
        <v>-118</v>
      </c>
      <c r="T20" s="4">
        <f t="shared" si="3"/>
        <v>500</v>
      </c>
      <c r="U20" s="4">
        <f t="shared" si="4"/>
        <v>473</v>
      </c>
      <c r="V20" s="4">
        <f t="shared" si="5"/>
        <v>20</v>
      </c>
      <c r="W20" s="4">
        <f t="shared" si="6"/>
        <v>1020</v>
      </c>
      <c r="X20" s="4">
        <f t="shared" si="7"/>
        <v>-331</v>
      </c>
      <c r="Y20" s="4">
        <f t="shared" si="8"/>
        <v>-694</v>
      </c>
      <c r="Z20" s="4">
        <f t="shared" si="9"/>
        <v>-523</v>
      </c>
      <c r="AA20" s="4">
        <f t="shared" si="10"/>
        <v>-464</v>
      </c>
      <c r="AB20" s="4">
        <f aca="true" t="shared" si="18" ref="AB20:AB26">$E20-$B20</f>
        <v>-307</v>
      </c>
      <c r="AC20" s="4">
        <f t="shared" si="13"/>
        <v>244</v>
      </c>
      <c r="AD20" s="17">
        <f>C20-B20</f>
        <v>-325</v>
      </c>
      <c r="AE20" s="4">
        <f t="shared" si="12"/>
        <v>327.125</v>
      </c>
      <c r="AF20" s="17">
        <f>AE20</f>
        <v>327.125</v>
      </c>
      <c r="AG20" s="74">
        <f t="shared" si="14"/>
        <v>3529.1428571428573</v>
      </c>
      <c r="AH20" s="74">
        <f t="shared" si="15"/>
        <v>2719.6666666666665</v>
      </c>
      <c r="AI20" s="74">
        <f t="shared" si="16"/>
        <v>809.4761904761908</v>
      </c>
    </row>
    <row r="21" spans="1:35" ht="12.75" customHeight="1">
      <c r="A21" s="22">
        <v>31990</v>
      </c>
      <c r="B21" s="17">
        <f t="shared" si="0"/>
        <v>2952.875</v>
      </c>
      <c r="C21" s="90">
        <v>2704</v>
      </c>
      <c r="D21" s="65">
        <v>3103</v>
      </c>
      <c r="E21" s="75">
        <f>(E20+E22)/2</f>
        <v>2850.5</v>
      </c>
      <c r="F21" s="21">
        <v>2496</v>
      </c>
      <c r="G21" s="39">
        <f>G$23+2*(G$20-G$23)/3</f>
        <v>2726</v>
      </c>
      <c r="H21" s="41">
        <f>2*(H$17-H$23)/6+H$23</f>
        <v>2476</v>
      </c>
      <c r="I21" s="45">
        <v>2798</v>
      </c>
      <c r="J21" s="45">
        <v>3954</v>
      </c>
      <c r="K21" s="45">
        <v>2826</v>
      </c>
      <c r="L21" s="45">
        <f>L22+63</f>
        <v>3175</v>
      </c>
      <c r="M21" s="45">
        <v>3152</v>
      </c>
      <c r="N21" s="45">
        <v>3058</v>
      </c>
      <c r="O21" s="17">
        <v>2820</v>
      </c>
      <c r="P21" s="52">
        <v>31990</v>
      </c>
      <c r="Q21" s="4"/>
      <c r="R21" s="19">
        <f t="shared" si="1"/>
        <v>-132.875</v>
      </c>
      <c r="S21" s="4">
        <f t="shared" si="2"/>
        <v>105.125</v>
      </c>
      <c r="T21" s="4">
        <f t="shared" si="3"/>
        <v>199.125</v>
      </c>
      <c r="U21" s="4">
        <f t="shared" si="4"/>
        <v>222.125</v>
      </c>
      <c r="V21" s="4">
        <f t="shared" si="5"/>
        <v>-126.875</v>
      </c>
      <c r="W21" s="4">
        <f t="shared" si="6"/>
        <v>1001.125</v>
      </c>
      <c r="X21" s="4">
        <f t="shared" si="7"/>
        <v>-154.875</v>
      </c>
      <c r="Y21" s="4">
        <f t="shared" si="8"/>
        <v>-476.875</v>
      </c>
      <c r="Z21" s="4">
        <f t="shared" si="9"/>
        <v>-226.875</v>
      </c>
      <c r="AA21" s="4">
        <f t="shared" si="10"/>
        <v>-456.875</v>
      </c>
      <c r="AB21" s="4">
        <f t="shared" si="18"/>
        <v>-102.375</v>
      </c>
      <c r="AC21" s="4">
        <f t="shared" si="13"/>
        <v>150.125</v>
      </c>
      <c r="AD21" s="17">
        <f>C21-B21</f>
        <v>-248.875</v>
      </c>
      <c r="AE21" s="4">
        <f t="shared" si="12"/>
        <v>53.291666666666515</v>
      </c>
      <c r="AF21" s="17">
        <f>(AE21+AE22+AE23)/3</f>
        <v>66.05324074074072</v>
      </c>
      <c r="AG21" s="74">
        <f t="shared" si="14"/>
        <v>3111.8571428571427</v>
      </c>
      <c r="AH21" s="74">
        <f t="shared" si="15"/>
        <v>2566</v>
      </c>
      <c r="AI21" s="74">
        <f t="shared" si="16"/>
        <v>545.8571428571427</v>
      </c>
    </row>
    <row r="22" spans="1:35" ht="12.75" customHeight="1">
      <c r="A22" s="22">
        <v>31959</v>
      </c>
      <c r="B22" s="17">
        <f t="shared" si="0"/>
        <v>2899.5833333333335</v>
      </c>
      <c r="C22" s="90">
        <v>2647</v>
      </c>
      <c r="D22" s="65">
        <v>3072</v>
      </c>
      <c r="E22" s="21">
        <v>2728</v>
      </c>
      <c r="F22" s="21">
        <v>2451</v>
      </c>
      <c r="G22" s="39">
        <f>G$23+1*(G$20-G$23)/3</f>
        <v>2695</v>
      </c>
      <c r="H22" s="41">
        <f>1*(H$17-H$23)/6+H$23</f>
        <v>2366</v>
      </c>
      <c r="I22" s="45">
        <v>2767</v>
      </c>
      <c r="J22" s="46">
        <f>J$27+5*(J$21-J$27)/6</f>
        <v>3907.3333333333335</v>
      </c>
      <c r="K22" s="46">
        <f>K$24+2*(K$21-K$24)/3</f>
        <v>2786.6666666666665</v>
      </c>
      <c r="L22" s="45">
        <f>L23+52</f>
        <v>3112</v>
      </c>
      <c r="M22" s="45">
        <v>3127</v>
      </c>
      <c r="N22" s="45">
        <v>3023</v>
      </c>
      <c r="O22" s="17">
        <v>2760</v>
      </c>
      <c r="P22" s="52">
        <v>31959</v>
      </c>
      <c r="Q22" s="4"/>
      <c r="R22" s="19">
        <f t="shared" si="1"/>
        <v>-139.58333333333348</v>
      </c>
      <c r="S22" s="4">
        <f t="shared" si="2"/>
        <v>123.41666666666652</v>
      </c>
      <c r="T22" s="4">
        <f t="shared" si="3"/>
        <v>227.41666666666652</v>
      </c>
      <c r="U22" s="4">
        <f t="shared" si="4"/>
        <v>212.41666666666652</v>
      </c>
      <c r="V22" s="4">
        <f t="shared" si="5"/>
        <v>-112.91666666666697</v>
      </c>
      <c r="W22" s="4">
        <f t="shared" si="6"/>
        <v>1007.75</v>
      </c>
      <c r="X22" s="4">
        <f t="shared" si="7"/>
        <v>-132.58333333333348</v>
      </c>
      <c r="Y22" s="4">
        <f t="shared" si="8"/>
        <v>-533.5833333333335</v>
      </c>
      <c r="Z22" s="4">
        <f t="shared" si="9"/>
        <v>-204.58333333333348</v>
      </c>
      <c r="AA22" s="4">
        <f t="shared" si="10"/>
        <v>-448.5833333333335</v>
      </c>
      <c r="AB22" s="4">
        <f t="shared" si="18"/>
        <v>-171.58333333333348</v>
      </c>
      <c r="AC22" s="4">
        <f t="shared" si="13"/>
        <v>172.41666666666652</v>
      </c>
      <c r="AD22" s="17">
        <f>C22-B22</f>
        <v>-252.58333333333348</v>
      </c>
      <c r="AE22" s="4">
        <f t="shared" si="12"/>
        <v>80.45833333333348</v>
      </c>
      <c r="AF22" s="17">
        <f>(AE21+AE22+AE23+AE24)/4</f>
        <v>61.33680555555554</v>
      </c>
      <c r="AG22" s="74">
        <f t="shared" si="14"/>
        <v>3069</v>
      </c>
      <c r="AH22" s="74">
        <f t="shared" si="15"/>
        <v>2504</v>
      </c>
      <c r="AI22" s="74">
        <f t="shared" si="16"/>
        <v>565</v>
      </c>
    </row>
    <row r="23" spans="1:35" ht="12.75" customHeight="1">
      <c r="A23" s="22">
        <v>31929</v>
      </c>
      <c r="B23" s="17">
        <f t="shared" si="0"/>
        <v>2819.125</v>
      </c>
      <c r="C23" s="90">
        <v>2609</v>
      </c>
      <c r="D23" s="65">
        <v>3045</v>
      </c>
      <c r="E23" s="21">
        <v>2660</v>
      </c>
      <c r="F23" s="21">
        <v>2525</v>
      </c>
      <c r="G23" s="21">
        <f>2019+584+55+16-10</f>
        <v>2664</v>
      </c>
      <c r="H23" s="41">
        <v>2256</v>
      </c>
      <c r="I23" s="45">
        <v>2504</v>
      </c>
      <c r="J23" s="46">
        <f>J$27+4*(J$21-J$27)/6</f>
        <v>3860.6666666666665</v>
      </c>
      <c r="K23" s="46">
        <f>K$24+1*(K$21-K$24)/3</f>
        <v>2747.3333333333335</v>
      </c>
      <c r="L23" s="45">
        <f>L24+30</f>
        <v>3060</v>
      </c>
      <c r="M23" s="46">
        <f>M24+(M22-M24)/2</f>
        <v>3082.5</v>
      </c>
      <c r="N23" s="45">
        <v>2785</v>
      </c>
      <c r="O23" s="17">
        <v>2640</v>
      </c>
      <c r="P23" s="52">
        <v>31929</v>
      </c>
      <c r="Q23" s="4"/>
      <c r="R23" s="19">
        <f t="shared" si="1"/>
        <v>-179.125</v>
      </c>
      <c r="S23" s="4">
        <f t="shared" si="2"/>
        <v>-34.125</v>
      </c>
      <c r="T23" s="4">
        <f t="shared" si="3"/>
        <v>263.375</v>
      </c>
      <c r="U23" s="4">
        <f t="shared" si="4"/>
        <v>240.875</v>
      </c>
      <c r="V23" s="4">
        <f t="shared" si="5"/>
        <v>-71.79166666666652</v>
      </c>
      <c r="W23" s="4">
        <f t="shared" si="6"/>
        <v>1041.5416666666665</v>
      </c>
      <c r="X23" s="4">
        <f t="shared" si="7"/>
        <v>-315.125</v>
      </c>
      <c r="Y23" s="4">
        <f t="shared" si="8"/>
        <v>-563.125</v>
      </c>
      <c r="Z23" s="4">
        <f t="shared" si="9"/>
        <v>-155.125</v>
      </c>
      <c r="AA23" s="4">
        <f t="shared" si="10"/>
        <v>-294.125</v>
      </c>
      <c r="AB23" s="4">
        <f t="shared" si="18"/>
        <v>-159.125</v>
      </c>
      <c r="AC23" s="4">
        <f t="shared" si="13"/>
        <v>225.875</v>
      </c>
      <c r="AD23" s="17">
        <f>C23-B23</f>
        <v>-210.125</v>
      </c>
      <c r="AE23" s="4">
        <f t="shared" si="12"/>
        <v>64.40972222222217</v>
      </c>
      <c r="AF23" s="17">
        <f aca="true" t="shared" si="19" ref="AF23:AF42">(AE21+AE22+AE23+AE24+AE25)/5</f>
        <v>56.97361111111104</v>
      </c>
      <c r="AG23" s="74">
        <f t="shared" si="14"/>
        <v>2954.214285714286</v>
      </c>
      <c r="AH23" s="74">
        <f t="shared" si="15"/>
        <v>2481.6666666666665</v>
      </c>
      <c r="AI23" s="74">
        <f t="shared" si="16"/>
        <v>472.54761904761926</v>
      </c>
    </row>
    <row r="24" spans="1:35" ht="12.75" customHeight="1">
      <c r="A24" s="22">
        <v>31898</v>
      </c>
      <c r="B24" s="17">
        <f t="shared" si="0"/>
        <v>2754.715277777778</v>
      </c>
      <c r="C24" s="52">
        <v>2563</v>
      </c>
      <c r="D24" s="65">
        <v>3039</v>
      </c>
      <c r="E24" s="21">
        <v>2569</v>
      </c>
      <c r="F24" s="21">
        <v>2413</v>
      </c>
      <c r="G24" s="21">
        <f>2019+584+55+16-25</f>
        <v>2649</v>
      </c>
      <c r="H24" s="41">
        <f>11*(H$23-H$35)/12+H$35</f>
        <v>2216.5833333333335</v>
      </c>
      <c r="I24" s="45">
        <v>2299</v>
      </c>
      <c r="J24" s="46">
        <f>J$27+3*(J$21-J$27)/6</f>
        <v>3814</v>
      </c>
      <c r="K24" s="45">
        <v>2708</v>
      </c>
      <c r="L24" s="45">
        <v>3030</v>
      </c>
      <c r="M24" s="45">
        <v>3038</v>
      </c>
      <c r="N24" s="45">
        <v>2671</v>
      </c>
      <c r="O24" s="17">
        <v>2610</v>
      </c>
      <c r="P24" s="52">
        <v>31898</v>
      </c>
      <c r="Q24" s="4"/>
      <c r="R24" s="19">
        <f t="shared" si="1"/>
        <v>-144.71527777777783</v>
      </c>
      <c r="S24" s="4">
        <f t="shared" si="2"/>
        <v>-83.71527777777783</v>
      </c>
      <c r="T24" s="4">
        <f t="shared" si="3"/>
        <v>283.2847222222222</v>
      </c>
      <c r="U24" s="4">
        <f t="shared" si="4"/>
        <v>275.2847222222222</v>
      </c>
      <c r="V24" s="4">
        <f t="shared" si="5"/>
        <v>-46.71527777777783</v>
      </c>
      <c r="W24" s="4">
        <f t="shared" si="6"/>
        <v>1059.2847222222222</v>
      </c>
      <c r="X24" s="4">
        <f t="shared" si="7"/>
        <v>-455.7152777777778</v>
      </c>
      <c r="Y24" s="4">
        <f t="shared" si="8"/>
        <v>-538.1319444444443</v>
      </c>
      <c r="Z24" s="4">
        <f t="shared" si="9"/>
        <v>-105.71527777777783</v>
      </c>
      <c r="AA24" s="4">
        <f t="shared" si="10"/>
        <v>-341.7152777777778</v>
      </c>
      <c r="AB24" s="4">
        <f t="shared" si="18"/>
        <v>-185.71527777777783</v>
      </c>
      <c r="AC24" s="4">
        <f t="shared" si="13"/>
        <v>284.2847222222222</v>
      </c>
      <c r="AD24" s="17">
        <f>C24-B24</f>
        <v>-191.71527777777783</v>
      </c>
      <c r="AE24" s="4">
        <f t="shared" si="12"/>
        <v>47.1875</v>
      </c>
      <c r="AF24" s="17">
        <f t="shared" si="19"/>
        <v>52.73194444444444</v>
      </c>
      <c r="AG24" s="74">
        <f t="shared" si="14"/>
        <v>2881.4285714285716</v>
      </c>
      <c r="AH24" s="74">
        <f t="shared" si="15"/>
        <v>2426.194444444445</v>
      </c>
      <c r="AI24" s="74">
        <f t="shared" si="16"/>
        <v>455.23412698412676</v>
      </c>
    </row>
    <row r="25" spans="1:35" ht="12.75" customHeight="1">
      <c r="A25" s="22">
        <v>31868</v>
      </c>
      <c r="B25" s="17">
        <f t="shared" si="0"/>
        <v>2707.527777777778</v>
      </c>
      <c r="C25" s="52">
        <v>2496</v>
      </c>
      <c r="D25" s="65">
        <v>3031</v>
      </c>
      <c r="E25" s="21">
        <v>2532</v>
      </c>
      <c r="F25" s="21">
        <v>2381</v>
      </c>
      <c r="G25" s="39">
        <f>G$29+4*(G$24-G$29)/5</f>
        <v>2629</v>
      </c>
      <c r="H25" s="41">
        <f>10*(H$23-H$35)/12+H$35</f>
        <v>2177.1666666666665</v>
      </c>
      <c r="I25" s="45">
        <v>2200</v>
      </c>
      <c r="J25" s="46">
        <f>J$27+2*(J$21-J$27)/6</f>
        <v>3767.3333333333335</v>
      </c>
      <c r="K25" s="46">
        <f>K$33+8*(K$24-K$33)/9</f>
        <v>2680.3333333333335</v>
      </c>
      <c r="L25" s="45">
        <f>(L24+L26)/2</f>
        <v>2964</v>
      </c>
      <c r="M25" s="46">
        <f>M26+(M24-M26)/2</f>
        <v>2935.5</v>
      </c>
      <c r="N25" s="45">
        <v>2613</v>
      </c>
      <c r="O25" s="17">
        <v>2580</v>
      </c>
      <c r="P25" s="52">
        <v>31868</v>
      </c>
      <c r="Q25" s="4"/>
      <c r="R25" s="19">
        <f t="shared" si="1"/>
        <v>-127.52777777777783</v>
      </c>
      <c r="S25" s="4">
        <f t="shared" si="2"/>
        <v>-94.52777777777783</v>
      </c>
      <c r="T25" s="4">
        <f t="shared" si="3"/>
        <v>227.97222222222217</v>
      </c>
      <c r="U25" s="4">
        <f t="shared" si="4"/>
        <v>256.4722222222222</v>
      </c>
      <c r="V25" s="4">
        <f t="shared" si="5"/>
        <v>-27.194444444444343</v>
      </c>
      <c r="W25" s="4">
        <f t="shared" si="6"/>
        <v>1059.8055555555557</v>
      </c>
      <c r="X25" s="4">
        <f t="shared" si="7"/>
        <v>-507.5277777777778</v>
      </c>
      <c r="Y25" s="4">
        <f t="shared" si="8"/>
        <v>-530.3611111111113</v>
      </c>
      <c r="Z25" s="4">
        <f t="shared" si="9"/>
        <v>-78.52777777777783</v>
      </c>
      <c r="AA25" s="4">
        <f t="shared" si="10"/>
        <v>-326.5277777777778</v>
      </c>
      <c r="AB25" s="4">
        <f t="shared" si="18"/>
        <v>-175.52777777777783</v>
      </c>
      <c r="AC25" s="4">
        <f t="shared" si="13"/>
        <v>323.4722222222222</v>
      </c>
      <c r="AD25" s="17">
        <f>C25-B25</f>
        <v>-211.52777777777783</v>
      </c>
      <c r="AE25" s="4">
        <f t="shared" si="12"/>
        <v>39.52083333333303</v>
      </c>
      <c r="AF25" s="17">
        <f t="shared" si="19"/>
        <v>42.9458333333334</v>
      </c>
      <c r="AG25" s="74">
        <f t="shared" si="14"/>
        <v>2820.0238095238096</v>
      </c>
      <c r="AH25" s="74">
        <f t="shared" si="15"/>
        <v>2395.722222222222</v>
      </c>
      <c r="AI25" s="74">
        <f t="shared" si="16"/>
        <v>424.30158730158746</v>
      </c>
    </row>
    <row r="26" spans="1:35" ht="12.75" customHeight="1">
      <c r="A26" s="22">
        <v>31837</v>
      </c>
      <c r="B26" s="17">
        <f t="shared" si="0"/>
        <v>2668.006944444445</v>
      </c>
      <c r="C26" s="52">
        <v>2420</v>
      </c>
      <c r="D26" s="65">
        <v>3020</v>
      </c>
      <c r="E26" s="21">
        <v>2500</v>
      </c>
      <c r="F26" s="21">
        <v>2336</v>
      </c>
      <c r="G26" s="39">
        <f>G$29+3*(G$24-G$29)/5</f>
        <v>2609</v>
      </c>
      <c r="H26" s="41">
        <f>9*(H$23-H$35)/12+H$35</f>
        <v>2137.75</v>
      </c>
      <c r="I26" s="45">
        <v>2161</v>
      </c>
      <c r="J26" s="46">
        <f>J$27+1*(J$21-J$27)/6</f>
        <v>3720.6666666666665</v>
      </c>
      <c r="K26" s="46">
        <f>K$33+7*(K$24-K$33)/9</f>
        <v>2652.6666666666665</v>
      </c>
      <c r="L26" s="45">
        <f>L27+33</f>
        <v>2898</v>
      </c>
      <c r="M26" s="45">
        <f>2483+244+96+10</f>
        <v>2833</v>
      </c>
      <c r="N26" s="45">
        <v>2588</v>
      </c>
      <c r="O26" s="17">
        <v>2560</v>
      </c>
      <c r="P26" s="52">
        <v>31837</v>
      </c>
      <c r="Q26" s="4"/>
      <c r="R26" s="19">
        <f t="shared" si="1"/>
        <v>-108.0069444444448</v>
      </c>
      <c r="S26" s="4">
        <f t="shared" si="2"/>
        <v>-80.0069444444448</v>
      </c>
      <c r="T26" s="4">
        <f t="shared" si="3"/>
        <v>164.9930555555552</v>
      </c>
      <c r="U26" s="4">
        <f t="shared" si="4"/>
        <v>229.9930555555552</v>
      </c>
      <c r="V26" s="4">
        <f t="shared" si="5"/>
        <v>-15.340277777778283</v>
      </c>
      <c r="W26" s="4">
        <f t="shared" si="6"/>
        <v>1052.6597222222217</v>
      </c>
      <c r="X26" s="4">
        <f t="shared" si="7"/>
        <v>-507.0069444444448</v>
      </c>
      <c r="Y26" s="4">
        <f t="shared" si="8"/>
        <v>-530.2569444444448</v>
      </c>
      <c r="Z26" s="4">
        <f t="shared" si="9"/>
        <v>-59.0069444444448</v>
      </c>
      <c r="AA26" s="4">
        <f t="shared" si="10"/>
        <v>-332.0069444444448</v>
      </c>
      <c r="AB26" s="4">
        <f t="shared" si="18"/>
        <v>-168.0069444444448</v>
      </c>
      <c r="AC26" s="4">
        <f t="shared" si="13"/>
        <v>351.9930555555552</v>
      </c>
      <c r="AD26" s="17">
        <f>C26-B26</f>
        <v>-248.0069444444448</v>
      </c>
      <c r="AE26" s="4">
        <f t="shared" si="12"/>
        <v>32.083333333333485</v>
      </c>
      <c r="AF26" s="17">
        <f t="shared" si="19"/>
        <v>39.41944444444444</v>
      </c>
      <c r="AG26" s="74">
        <f t="shared" si="14"/>
        <v>2773.333333333333</v>
      </c>
      <c r="AH26" s="74">
        <f t="shared" si="15"/>
        <v>2360.9166666666665</v>
      </c>
      <c r="AI26" s="74">
        <f t="shared" si="16"/>
        <v>412.4166666666665</v>
      </c>
    </row>
    <row r="27" spans="1:35" ht="12.75" customHeight="1">
      <c r="A27" s="22">
        <v>31808</v>
      </c>
      <c r="B27" s="17">
        <f t="shared" si="0"/>
        <v>2635.9236111111113</v>
      </c>
      <c r="C27" s="52">
        <v>2411</v>
      </c>
      <c r="D27" s="67">
        <v>2990</v>
      </c>
      <c r="E27" s="76">
        <v>2473</v>
      </c>
      <c r="F27" s="21">
        <v>2277</v>
      </c>
      <c r="G27" s="39">
        <f>G$29+2*(G$24-G$29)/5</f>
        <v>2589</v>
      </c>
      <c r="H27" s="41">
        <f>8*(H$23-H$35)/12+H$35</f>
        <v>2098.3333333333335</v>
      </c>
      <c r="I27" s="46">
        <f>3*(I$26-I$30)/4+I$30</f>
        <v>2137</v>
      </c>
      <c r="J27" s="45">
        <v>3674</v>
      </c>
      <c r="K27" s="46">
        <f>K$33+6*(K$24-K$33)/9</f>
        <v>2625</v>
      </c>
      <c r="L27" s="45">
        <f>L28+27</f>
        <v>2865</v>
      </c>
      <c r="M27" s="46">
        <f>M28+133/4</f>
        <v>2799.75</v>
      </c>
      <c r="N27" s="45">
        <v>2563</v>
      </c>
      <c r="O27" s="17">
        <v>2540</v>
      </c>
      <c r="P27" s="52">
        <v>31808</v>
      </c>
      <c r="Q27" s="4"/>
      <c r="R27" s="19">
        <f t="shared" si="1"/>
        <v>-95.92361111111131</v>
      </c>
      <c r="S27" s="4">
        <f t="shared" si="2"/>
        <v>-72.92361111111131</v>
      </c>
      <c r="T27" s="4">
        <f t="shared" si="3"/>
        <v>163.8263888888887</v>
      </c>
      <c r="U27" s="4">
        <f t="shared" si="4"/>
        <v>229.0763888888887</v>
      </c>
      <c r="V27" s="4">
        <f t="shared" si="5"/>
        <v>-10.923611111111313</v>
      </c>
      <c r="W27" s="4">
        <f t="shared" si="6"/>
        <v>1038.0763888888887</v>
      </c>
      <c r="X27" s="4">
        <f t="shared" si="7"/>
        <v>-498.9236111111113</v>
      </c>
      <c r="Y27" s="4">
        <f t="shared" si="8"/>
        <v>-537.5902777777778</v>
      </c>
      <c r="Z27" s="4">
        <f t="shared" si="9"/>
        <v>-46.92361111111131</v>
      </c>
      <c r="AA27" s="4">
        <f t="shared" si="10"/>
        <v>-358.9236111111113</v>
      </c>
      <c r="AB27" s="4">
        <f aca="true" t="shared" si="20" ref="AB27:AB45">$E27-$B27</f>
        <v>-162.9236111111113</v>
      </c>
      <c r="AC27" s="4">
        <f t="shared" si="13"/>
        <v>354.0763888888887</v>
      </c>
      <c r="AD27" s="17">
        <f aca="true" t="shared" si="21" ref="AD27:AD35">C27-B27</f>
        <v>-224.9236111111113</v>
      </c>
      <c r="AE27" s="4">
        <f t="shared" si="12"/>
        <v>31.527777777778283</v>
      </c>
      <c r="AF27" s="17">
        <f t="shared" si="19"/>
        <v>40.6208333333333</v>
      </c>
      <c r="AG27" s="74">
        <f t="shared" si="14"/>
        <v>2743.3928571428573</v>
      </c>
      <c r="AH27" s="74">
        <f t="shared" si="15"/>
        <v>2321.444444444445</v>
      </c>
      <c r="AI27" s="74">
        <f t="shared" si="16"/>
        <v>421.94841269841254</v>
      </c>
    </row>
    <row r="28" spans="1:35" ht="12.75" customHeight="1">
      <c r="A28" s="22">
        <v>31777</v>
      </c>
      <c r="B28" s="23">
        <f t="shared" si="0"/>
        <v>2604.395833333333</v>
      </c>
      <c r="C28" s="54">
        <v>2388</v>
      </c>
      <c r="D28" s="80">
        <v>2902</v>
      </c>
      <c r="E28" s="76">
        <v>2427</v>
      </c>
      <c r="F28" s="24">
        <v>2274</v>
      </c>
      <c r="G28" s="40">
        <f>G$29+1*(G$24-G$29)/5</f>
        <v>2569</v>
      </c>
      <c r="H28" s="42">
        <f>7*(H$23-H$35)/12+H$35</f>
        <v>2058.9166666666665</v>
      </c>
      <c r="I28" s="46">
        <f>2*(I$26-I$30)/4+I$30</f>
        <v>2113</v>
      </c>
      <c r="J28" s="46">
        <v>3635</v>
      </c>
      <c r="K28" s="46">
        <f>K$33+5*(K$24-K$33)/9</f>
        <v>2597.3333333333335</v>
      </c>
      <c r="L28" s="45">
        <f>L29+125</f>
        <v>2838</v>
      </c>
      <c r="M28" s="46">
        <f>M29+133/4</f>
        <v>2766.5</v>
      </c>
      <c r="N28" s="45">
        <v>2552</v>
      </c>
      <c r="O28" s="17">
        <v>2520</v>
      </c>
      <c r="P28" s="52">
        <v>31777</v>
      </c>
      <c r="Q28" s="4"/>
      <c r="R28" s="19">
        <f t="shared" si="1"/>
        <v>-84.39583333333303</v>
      </c>
      <c r="S28" s="4">
        <f t="shared" si="2"/>
        <v>-52.39583333333303</v>
      </c>
      <c r="T28" s="4">
        <f t="shared" si="3"/>
        <v>162.10416666666697</v>
      </c>
      <c r="U28" s="4">
        <f t="shared" si="4"/>
        <v>233.60416666666697</v>
      </c>
      <c r="V28" s="4">
        <f t="shared" si="5"/>
        <v>-7.062499999999545</v>
      </c>
      <c r="W28" s="25">
        <f t="shared" si="6"/>
        <v>1030.604166666667</v>
      </c>
      <c r="X28" s="4">
        <f t="shared" si="7"/>
        <v>-491.39583333333303</v>
      </c>
      <c r="Y28" s="25">
        <f t="shared" si="8"/>
        <v>-545.4791666666665</v>
      </c>
      <c r="Z28" s="25">
        <f t="shared" si="9"/>
        <v>-35.39583333333303</v>
      </c>
      <c r="AA28" s="25">
        <f t="shared" si="10"/>
        <v>-330.39583333333303</v>
      </c>
      <c r="AB28" s="4">
        <f t="shared" si="20"/>
        <v>-177.39583333333303</v>
      </c>
      <c r="AC28" s="25">
        <f t="shared" si="13"/>
        <v>297.60416666666697</v>
      </c>
      <c r="AD28" s="23">
        <f t="shared" si="21"/>
        <v>-216.39583333333303</v>
      </c>
      <c r="AE28" s="4">
        <f t="shared" si="12"/>
        <v>46.777777777777374</v>
      </c>
      <c r="AF28" s="17">
        <f t="shared" si="19"/>
        <v>38.206944444444524</v>
      </c>
      <c r="AG28" s="71">
        <f t="shared" si="14"/>
        <v>2717.4047619047624</v>
      </c>
      <c r="AH28" s="71">
        <f t="shared" si="15"/>
        <v>2300.6388888888887</v>
      </c>
      <c r="AI28" s="71">
        <f t="shared" si="16"/>
        <v>416.7658730158737</v>
      </c>
    </row>
    <row r="29" spans="1:35" ht="12.75" customHeight="1">
      <c r="A29" s="26">
        <v>31746</v>
      </c>
      <c r="B29" s="17">
        <f t="shared" si="0"/>
        <v>2557.6180555555557</v>
      </c>
      <c r="C29" s="89">
        <v>2356</v>
      </c>
      <c r="D29" s="79">
        <f>(D28+D30)/2</f>
        <v>2886</v>
      </c>
      <c r="E29" s="77">
        <v>2378</v>
      </c>
      <c r="F29" s="21">
        <v>2262</v>
      </c>
      <c r="G29" s="21">
        <v>2549</v>
      </c>
      <c r="H29" s="41">
        <f>6*(H$23-H$35)/12+H$35</f>
        <v>2019.5</v>
      </c>
      <c r="I29" s="49">
        <f>1*(I$26-I$30)/4+I$30</f>
        <v>2089</v>
      </c>
      <c r="J29" s="49">
        <v>3600</v>
      </c>
      <c r="K29" s="49">
        <f>K$33+4*(K$24-K$33)/9</f>
        <v>2569.6666666666665</v>
      </c>
      <c r="L29" s="48">
        <f>L30+239</f>
        <v>2713</v>
      </c>
      <c r="M29" s="49">
        <f>M30+133/4</f>
        <v>2733.25</v>
      </c>
      <c r="N29" s="48">
        <v>2452</v>
      </c>
      <c r="O29" s="12">
        <v>2440</v>
      </c>
      <c r="P29" s="50">
        <v>31746</v>
      </c>
      <c r="Q29" s="13"/>
      <c r="R29" s="15">
        <f t="shared" si="1"/>
        <v>-117.61805555555566</v>
      </c>
      <c r="S29" s="13">
        <f t="shared" si="2"/>
        <v>-105.61805555555566</v>
      </c>
      <c r="T29" s="13">
        <f t="shared" si="3"/>
        <v>175.63194444444434</v>
      </c>
      <c r="U29" s="13">
        <f t="shared" si="4"/>
        <v>155.38194444444434</v>
      </c>
      <c r="V29" s="13">
        <f t="shared" si="5"/>
        <v>12.048611111110858</v>
      </c>
      <c r="W29" s="4">
        <f t="shared" si="6"/>
        <v>1042.3819444444443</v>
      </c>
      <c r="X29" s="13">
        <f t="shared" si="7"/>
        <v>-468.61805555555566</v>
      </c>
      <c r="Y29" s="4">
        <f t="shared" si="8"/>
        <v>-538.1180555555557</v>
      </c>
      <c r="Z29" s="4">
        <f t="shared" si="9"/>
        <v>-8.618055555555657</v>
      </c>
      <c r="AA29" s="4">
        <f t="shared" si="10"/>
        <v>-295.61805555555566</v>
      </c>
      <c r="AB29" s="13">
        <f t="shared" si="20"/>
        <v>-179.61805555555566</v>
      </c>
      <c r="AC29" s="4">
        <f t="shared" si="13"/>
        <v>328.38194444444434</v>
      </c>
      <c r="AD29" s="17">
        <f t="shared" si="21"/>
        <v>-201.61805555555566</v>
      </c>
      <c r="AE29" s="13">
        <f t="shared" si="12"/>
        <v>53.19444444444434</v>
      </c>
      <c r="AF29" s="12">
        <f t="shared" si="19"/>
        <v>40.13055555555557</v>
      </c>
      <c r="AG29" s="74">
        <f t="shared" si="14"/>
        <v>2656.7023809523807</v>
      </c>
      <c r="AH29" s="74">
        <f t="shared" si="15"/>
        <v>2276.8333333333335</v>
      </c>
      <c r="AI29" s="74">
        <f t="shared" si="16"/>
        <v>379.86904761904725</v>
      </c>
    </row>
    <row r="30" spans="1:35" ht="12.75" customHeight="1">
      <c r="A30" s="22">
        <v>31716</v>
      </c>
      <c r="B30" s="17">
        <f t="shared" si="0"/>
        <v>2504.4236111111113</v>
      </c>
      <c r="C30" s="74">
        <v>2310</v>
      </c>
      <c r="D30" s="67">
        <v>2870</v>
      </c>
      <c r="E30" s="76">
        <v>2358</v>
      </c>
      <c r="F30" s="21">
        <v>2253</v>
      </c>
      <c r="G30" s="21">
        <v>2547</v>
      </c>
      <c r="H30" s="41">
        <f>5*(H$23-H$35)/12+H$35</f>
        <v>1980.0833333333333</v>
      </c>
      <c r="I30" s="45">
        <v>2065</v>
      </c>
      <c r="J30" s="46">
        <v>3566</v>
      </c>
      <c r="K30" s="46">
        <f>K$33+3*(K$24-K$33)/9</f>
        <v>2542</v>
      </c>
      <c r="L30" s="45">
        <f>L31+65</f>
        <v>2474</v>
      </c>
      <c r="M30" s="45">
        <v>2700</v>
      </c>
      <c r="N30" s="45">
        <v>2278</v>
      </c>
      <c r="O30" s="17">
        <v>2420</v>
      </c>
      <c r="P30" s="52">
        <v>31716</v>
      </c>
      <c r="Q30" s="4"/>
      <c r="R30" s="19">
        <f t="shared" si="1"/>
        <v>-84.42361111111131</v>
      </c>
      <c r="S30" s="4">
        <f t="shared" si="2"/>
        <v>-226.4236111111113</v>
      </c>
      <c r="T30" s="4">
        <f t="shared" si="3"/>
        <v>195.5763888888887</v>
      </c>
      <c r="U30" s="4">
        <f t="shared" si="4"/>
        <v>-30.423611111111313</v>
      </c>
      <c r="V30" s="4">
        <f t="shared" si="5"/>
        <v>37.57638888888869</v>
      </c>
      <c r="W30" s="4">
        <f t="shared" si="6"/>
        <v>1061.5763888888887</v>
      </c>
      <c r="X30" s="4">
        <f t="shared" si="7"/>
        <v>-439.4236111111113</v>
      </c>
      <c r="Y30" s="4">
        <f t="shared" si="8"/>
        <v>-524.340277777778</v>
      </c>
      <c r="Z30" s="4">
        <f t="shared" si="9"/>
        <v>42.57638888888869</v>
      </c>
      <c r="AA30" s="4">
        <f t="shared" si="10"/>
        <v>-251.4236111111113</v>
      </c>
      <c r="AB30" s="4">
        <f t="shared" si="20"/>
        <v>-146.4236111111113</v>
      </c>
      <c r="AC30" s="4">
        <f t="shared" si="13"/>
        <v>365.5763888888887</v>
      </c>
      <c r="AD30" s="17">
        <f t="shared" si="21"/>
        <v>-194.4236111111113</v>
      </c>
      <c r="AE30" s="4">
        <f t="shared" si="12"/>
        <v>27.45138888888914</v>
      </c>
      <c r="AF30" s="17">
        <f t="shared" si="19"/>
        <v>55.89027777777765</v>
      </c>
      <c r="AG30" s="74">
        <f t="shared" si="14"/>
        <v>2577.8571428571427</v>
      </c>
      <c r="AH30" s="74">
        <f t="shared" si="15"/>
        <v>2260.027777777778</v>
      </c>
      <c r="AI30" s="74">
        <f t="shared" si="16"/>
        <v>317.82936507936483</v>
      </c>
    </row>
    <row r="31" spans="1:35" ht="12.75" customHeight="1">
      <c r="A31" s="22">
        <v>31685</v>
      </c>
      <c r="B31" s="17">
        <f t="shared" si="0"/>
        <v>2476.972222222222</v>
      </c>
      <c r="C31" s="74">
        <v>2137</v>
      </c>
      <c r="D31" s="67">
        <v>2865</v>
      </c>
      <c r="E31" s="76">
        <v>2349</v>
      </c>
      <c r="F31" s="21">
        <v>2208</v>
      </c>
      <c r="G31" s="21">
        <v>2545</v>
      </c>
      <c r="H31" s="41">
        <f>4*(H$23-H$35)/12+H$35</f>
        <v>1940.6666666666667</v>
      </c>
      <c r="I31" s="46">
        <f>2*(I$30-I$33)/3+I$33</f>
        <v>2023.6666666666667</v>
      </c>
      <c r="J31" s="46">
        <v>3533</v>
      </c>
      <c r="K31" s="46">
        <f>K$33+2*(K$24-K$33)/9</f>
        <v>2514.3333333333335</v>
      </c>
      <c r="L31" s="45">
        <f>L32+27</f>
        <v>2409</v>
      </c>
      <c r="M31" s="46">
        <v>2708</v>
      </c>
      <c r="N31" s="45">
        <v>2228</v>
      </c>
      <c r="O31" s="17">
        <v>2400</v>
      </c>
      <c r="P31" s="52">
        <v>31685</v>
      </c>
      <c r="Q31" s="4"/>
      <c r="R31" s="19">
        <f t="shared" si="1"/>
        <v>-76.97222222222217</v>
      </c>
      <c r="S31" s="4">
        <f t="shared" si="2"/>
        <v>-248.97222222222217</v>
      </c>
      <c r="T31" s="4">
        <f t="shared" si="3"/>
        <v>231.02777777777783</v>
      </c>
      <c r="U31" s="4">
        <f t="shared" si="4"/>
        <v>-67.97222222222217</v>
      </c>
      <c r="V31" s="4">
        <f t="shared" si="5"/>
        <v>37.36111111111131</v>
      </c>
      <c r="W31" s="4">
        <f t="shared" si="6"/>
        <v>1056.0277777777778</v>
      </c>
      <c r="X31" s="4">
        <f t="shared" si="7"/>
        <v>-453.30555555555543</v>
      </c>
      <c r="Y31" s="4">
        <f t="shared" si="8"/>
        <v>-536.3055555555554</v>
      </c>
      <c r="Z31" s="4">
        <f t="shared" si="9"/>
        <v>68.02777777777783</v>
      </c>
      <c r="AA31" s="4">
        <f t="shared" si="10"/>
        <v>-268.9722222222222</v>
      </c>
      <c r="AB31" s="4">
        <f t="shared" si="20"/>
        <v>-127.97222222222217</v>
      </c>
      <c r="AC31" s="4">
        <f t="shared" si="13"/>
        <v>388.0277777777778</v>
      </c>
      <c r="AD31" s="17">
        <f t="shared" si="21"/>
        <v>-339.9722222222222</v>
      </c>
      <c r="AE31" s="4">
        <f t="shared" si="12"/>
        <v>41.70138888888869</v>
      </c>
      <c r="AF31" s="17">
        <f t="shared" si="19"/>
        <v>58.93392857142862</v>
      </c>
      <c r="AG31" s="74">
        <f t="shared" si="14"/>
        <v>2545.1428571428573</v>
      </c>
      <c r="AH31" s="74">
        <f t="shared" si="15"/>
        <v>2231.222222222222</v>
      </c>
      <c r="AI31" s="74">
        <f t="shared" si="16"/>
        <v>313.92063492063517</v>
      </c>
    </row>
    <row r="32" spans="1:35" ht="12.75">
      <c r="A32" s="22">
        <v>31655</v>
      </c>
      <c r="B32" s="17">
        <f t="shared" si="0"/>
        <v>2435.2708333333335</v>
      </c>
      <c r="C32" s="74">
        <v>2094</v>
      </c>
      <c r="D32" s="67">
        <v>2856</v>
      </c>
      <c r="E32" s="76">
        <v>2123</v>
      </c>
      <c r="F32" s="21">
        <v>2199</v>
      </c>
      <c r="G32" s="39">
        <v>2475</v>
      </c>
      <c r="H32" s="41">
        <f>3*(H$23-H$35)/12+H$35</f>
        <v>1901.25</v>
      </c>
      <c r="I32" s="46">
        <f>1*(I$30-I$33)/3+I$33</f>
        <v>1982.3333333333333</v>
      </c>
      <c r="J32" s="45">
        <v>3498</v>
      </c>
      <c r="K32" s="46">
        <f>K$33+1*(K$24-K$33)/9</f>
        <v>2486.6666666666665</v>
      </c>
      <c r="L32" s="45">
        <f>L33+263</f>
        <v>2382</v>
      </c>
      <c r="M32" s="45">
        <v>2716</v>
      </c>
      <c r="N32" s="45">
        <v>2214</v>
      </c>
      <c r="O32" s="17">
        <v>2390</v>
      </c>
      <c r="P32" s="52">
        <v>31655</v>
      </c>
      <c r="Q32" s="4"/>
      <c r="R32" s="19">
        <f t="shared" si="1"/>
        <v>-45.270833333333485</v>
      </c>
      <c r="S32" s="4">
        <f t="shared" si="2"/>
        <v>-221.27083333333348</v>
      </c>
      <c r="T32" s="4">
        <f t="shared" si="3"/>
        <v>280.7291666666665</v>
      </c>
      <c r="U32" s="4">
        <f t="shared" si="4"/>
        <v>-53.270833333333485</v>
      </c>
      <c r="V32" s="4">
        <f t="shared" si="5"/>
        <v>51.39583333333303</v>
      </c>
      <c r="W32" s="4">
        <f t="shared" si="6"/>
        <v>1062.7291666666665</v>
      </c>
      <c r="X32" s="4">
        <f t="shared" si="7"/>
        <v>-452.9375000000002</v>
      </c>
      <c r="Y32" s="4">
        <f t="shared" si="8"/>
        <v>-534.0208333333335</v>
      </c>
      <c r="Z32" s="4">
        <f t="shared" si="9"/>
        <v>39.729166666666515</v>
      </c>
      <c r="AA32" s="4">
        <f t="shared" si="10"/>
        <v>-236.27083333333348</v>
      </c>
      <c r="AB32" s="4">
        <f t="shared" si="20"/>
        <v>-312.2708333333335</v>
      </c>
      <c r="AC32" s="4">
        <f t="shared" si="13"/>
        <v>420.7291666666665</v>
      </c>
      <c r="AD32" s="17">
        <f t="shared" si="21"/>
        <v>-341.2708333333335</v>
      </c>
      <c r="AE32" s="4">
        <f t="shared" si="12"/>
        <v>110.32638888888869</v>
      </c>
      <c r="AF32" s="17">
        <f t="shared" si="19"/>
        <v>56.51924603174602</v>
      </c>
      <c r="AG32" s="74">
        <f t="shared" si="14"/>
        <v>2524.1428571428573</v>
      </c>
      <c r="AH32" s="74">
        <f t="shared" si="15"/>
        <v>2191.75</v>
      </c>
      <c r="AI32" s="74">
        <f t="shared" si="16"/>
        <v>332.39285714285734</v>
      </c>
    </row>
    <row r="33" spans="1:35" ht="12.75" customHeight="1">
      <c r="A33" s="22">
        <v>31624</v>
      </c>
      <c r="B33" s="17">
        <f t="shared" si="0"/>
        <v>2324.944444444445</v>
      </c>
      <c r="C33" s="74">
        <v>1888</v>
      </c>
      <c r="D33" s="81">
        <f>(D32+D34)/2</f>
        <v>2797.5</v>
      </c>
      <c r="E33" s="76">
        <v>2325</v>
      </c>
      <c r="F33" s="21">
        <v>2112</v>
      </c>
      <c r="G33" s="39">
        <v>2130</v>
      </c>
      <c r="H33" s="41">
        <f>2*(H$23-H$35)/12+H$35</f>
        <v>1861.8333333333333</v>
      </c>
      <c r="I33" s="45">
        <v>1941</v>
      </c>
      <c r="J33" s="45">
        <v>3289</v>
      </c>
      <c r="K33" s="45">
        <v>2459</v>
      </c>
      <c r="L33" s="45">
        <f>L34+39</f>
        <v>2119</v>
      </c>
      <c r="M33" s="45">
        <v>2500</v>
      </c>
      <c r="N33" s="45">
        <v>2055</v>
      </c>
      <c r="O33" s="17">
        <v>2310</v>
      </c>
      <c r="P33" s="52">
        <v>31624</v>
      </c>
      <c r="Q33" s="4"/>
      <c r="R33" s="19">
        <f t="shared" si="1"/>
        <v>-14.944444444444798</v>
      </c>
      <c r="S33" s="4">
        <f t="shared" si="2"/>
        <v>-269.9444444444448</v>
      </c>
      <c r="T33" s="4">
        <f t="shared" si="3"/>
        <v>175.0555555555552</v>
      </c>
      <c r="U33" s="4">
        <f t="shared" si="4"/>
        <v>-205.9444444444448</v>
      </c>
      <c r="V33" s="4">
        <f t="shared" si="5"/>
        <v>134.0555555555552</v>
      </c>
      <c r="W33" s="4">
        <f t="shared" si="6"/>
        <v>964.0555555555552</v>
      </c>
      <c r="X33" s="4">
        <f t="shared" si="7"/>
        <v>-383.9444444444448</v>
      </c>
      <c r="Y33" s="4">
        <f t="shared" si="8"/>
        <v>-463.11111111111154</v>
      </c>
      <c r="Z33" s="4">
        <f t="shared" si="9"/>
        <v>-194.9444444444448</v>
      </c>
      <c r="AA33" s="4">
        <f t="shared" si="10"/>
        <v>-212.9444444444448</v>
      </c>
      <c r="AB33" s="4">
        <f t="shared" si="20"/>
        <v>0.05555555555520186</v>
      </c>
      <c r="AC33" s="4">
        <f t="shared" si="13"/>
        <v>472.5555555555552</v>
      </c>
      <c r="AD33" s="17">
        <f t="shared" si="21"/>
        <v>-436.9444444444448</v>
      </c>
      <c r="AE33" s="4">
        <f t="shared" si="12"/>
        <v>61.99603174603226</v>
      </c>
      <c r="AF33" s="17">
        <f t="shared" si="19"/>
        <v>57.329563492063514</v>
      </c>
      <c r="AG33" s="74">
        <f t="shared" si="14"/>
        <v>2381.8571428571427</v>
      </c>
      <c r="AH33" s="74">
        <f t="shared" si="15"/>
        <v>2034.611111111111</v>
      </c>
      <c r="AI33" s="74">
        <f t="shared" si="16"/>
        <v>347.2460317460316</v>
      </c>
    </row>
    <row r="34" spans="1:35" ht="12.75" customHeight="1">
      <c r="A34" s="22">
        <v>31593</v>
      </c>
      <c r="B34" s="17">
        <f t="shared" si="0"/>
        <v>2262.9484126984125</v>
      </c>
      <c r="C34" s="74">
        <v>1875</v>
      </c>
      <c r="D34" s="67">
        <v>2739</v>
      </c>
      <c r="E34" s="76">
        <v>2116</v>
      </c>
      <c r="F34" s="21">
        <v>2088</v>
      </c>
      <c r="G34" s="21">
        <v>2097</v>
      </c>
      <c r="H34" s="41">
        <f>1*(H$23-H$35)/12+H$35</f>
        <v>1822.4166666666667</v>
      </c>
      <c r="I34" s="46">
        <f>3*(I$33-I$37)/4+I$37</f>
        <v>1866.25</v>
      </c>
      <c r="J34" s="46">
        <v>3217</v>
      </c>
      <c r="K34" s="46">
        <f>6*K$33/7+1*K$40/7</f>
        <v>2437.714285714286</v>
      </c>
      <c r="L34" s="45">
        <f>L35+28</f>
        <v>2080</v>
      </c>
      <c r="M34" s="46">
        <f>M35+88</f>
        <v>2409</v>
      </c>
      <c r="N34" s="45">
        <v>2053</v>
      </c>
      <c r="O34" s="17">
        <v>2230</v>
      </c>
      <c r="P34" s="52">
        <v>31593</v>
      </c>
      <c r="Q34" s="4"/>
      <c r="R34" s="19">
        <f t="shared" si="1"/>
        <v>-32.94841269841254</v>
      </c>
      <c r="S34" s="4">
        <f t="shared" si="2"/>
        <v>-209.94841269841254</v>
      </c>
      <c r="T34" s="4">
        <f t="shared" si="3"/>
        <v>146.05158730158746</v>
      </c>
      <c r="U34" s="4">
        <f t="shared" si="4"/>
        <v>-182.94841269841254</v>
      </c>
      <c r="V34" s="4">
        <f t="shared" si="5"/>
        <v>174.76587301587324</v>
      </c>
      <c r="W34" s="4">
        <f t="shared" si="6"/>
        <v>954.0515873015875</v>
      </c>
      <c r="X34" s="4">
        <f t="shared" si="7"/>
        <v>-396.69841269841254</v>
      </c>
      <c r="Y34" s="4">
        <f t="shared" si="8"/>
        <v>-440.5317460317458</v>
      </c>
      <c r="Z34" s="4">
        <f t="shared" si="9"/>
        <v>-165.94841269841254</v>
      </c>
      <c r="AA34" s="4">
        <f t="shared" si="10"/>
        <v>-174.94841269841254</v>
      </c>
      <c r="AB34" s="4">
        <f t="shared" si="20"/>
        <v>-146.94841269841254</v>
      </c>
      <c r="AC34" s="4">
        <f t="shared" si="13"/>
        <v>476.05158730158746</v>
      </c>
      <c r="AD34" s="17">
        <f t="shared" si="21"/>
        <v>-387.94841269841254</v>
      </c>
      <c r="AE34" s="4">
        <f t="shared" si="12"/>
        <v>41.12103174603135</v>
      </c>
      <c r="AF34" s="17">
        <f t="shared" si="19"/>
        <v>55.62321428571431</v>
      </c>
      <c r="AG34" s="74">
        <f t="shared" si="14"/>
        <v>2327.5663265306125</v>
      </c>
      <c r="AH34" s="74">
        <f t="shared" si="15"/>
        <v>2002.4722222222224</v>
      </c>
      <c r="AI34" s="74">
        <f t="shared" si="16"/>
        <v>325.0941043083901</v>
      </c>
    </row>
    <row r="35" spans="1:35" ht="12.75" customHeight="1">
      <c r="A35" s="22">
        <v>31563</v>
      </c>
      <c r="B35" s="17">
        <f t="shared" si="0"/>
        <v>2221.827380952381</v>
      </c>
      <c r="C35" s="74">
        <v>1872</v>
      </c>
      <c r="D35" s="67">
        <v>2656</v>
      </c>
      <c r="E35" s="76">
        <v>2093</v>
      </c>
      <c r="F35" s="21">
        <v>2074</v>
      </c>
      <c r="G35" s="39">
        <f>1972+4*(2097-1972)/5</f>
        <v>2072</v>
      </c>
      <c r="H35" s="19">
        <v>1783</v>
      </c>
      <c r="I35" s="46">
        <f>2*(I$33-I$37)/4+I$37</f>
        <v>1791.5</v>
      </c>
      <c r="J35" s="46">
        <v>3140</v>
      </c>
      <c r="K35" s="46">
        <f>5*K$33/7+2*K$40/7</f>
        <v>2416.4285714285716</v>
      </c>
      <c r="L35" s="45">
        <f>L36+28</f>
        <v>2052</v>
      </c>
      <c r="M35" s="46">
        <f>M36+88</f>
        <v>2321</v>
      </c>
      <c r="N35" s="45">
        <v>2043</v>
      </c>
      <c r="O35" s="17">
        <v>2220</v>
      </c>
      <c r="P35" s="52">
        <v>31563</v>
      </c>
      <c r="Q35" s="4"/>
      <c r="R35" s="19">
        <f t="shared" si="1"/>
        <v>-1.8273809523811906</v>
      </c>
      <c r="S35" s="4">
        <f t="shared" si="2"/>
        <v>-178.8273809523812</v>
      </c>
      <c r="T35" s="4">
        <f t="shared" si="3"/>
        <v>99.17261904761881</v>
      </c>
      <c r="U35" s="4">
        <f t="shared" si="4"/>
        <v>-169.8273809523812</v>
      </c>
      <c r="V35" s="4">
        <f t="shared" si="5"/>
        <v>194.60119047619037</v>
      </c>
      <c r="W35" s="4">
        <f t="shared" si="6"/>
        <v>918.1726190476188</v>
      </c>
      <c r="X35" s="4">
        <f t="shared" si="7"/>
        <v>-430.3273809523812</v>
      </c>
      <c r="Y35" s="4">
        <f t="shared" si="8"/>
        <v>-438.8273809523812</v>
      </c>
      <c r="Z35" s="4">
        <f t="shared" si="9"/>
        <v>-149.8273809523812</v>
      </c>
      <c r="AA35" s="4">
        <f t="shared" si="10"/>
        <v>-147.8273809523812</v>
      </c>
      <c r="AB35" s="4">
        <f t="shared" si="20"/>
        <v>-128.8273809523812</v>
      </c>
      <c r="AC35" s="4">
        <f t="shared" si="13"/>
        <v>434.1726190476188</v>
      </c>
      <c r="AD35" s="17">
        <f t="shared" si="21"/>
        <v>-349.8273809523812</v>
      </c>
      <c r="AE35" s="4">
        <f t="shared" si="12"/>
        <v>31.502976190476602</v>
      </c>
      <c r="AF35" s="17">
        <f t="shared" si="19"/>
        <v>44.6293650793652</v>
      </c>
      <c r="AG35" s="74">
        <f t="shared" si="14"/>
        <v>2283.418367346939</v>
      </c>
      <c r="AH35" s="74">
        <f t="shared" si="15"/>
        <v>1976.3333333333333</v>
      </c>
      <c r="AI35" s="74">
        <f t="shared" si="16"/>
        <v>307.08503401360554</v>
      </c>
    </row>
    <row r="36" spans="1:35" ht="12.75" customHeight="1">
      <c r="A36" s="22">
        <v>31532</v>
      </c>
      <c r="B36" s="17">
        <f t="shared" si="0"/>
        <v>2190.3244047619046</v>
      </c>
      <c r="C36" s="52">
        <f>1368+443</f>
        <v>1811</v>
      </c>
      <c r="D36" s="67">
        <v>2643</v>
      </c>
      <c r="E36" s="76">
        <v>2093</v>
      </c>
      <c r="F36" s="21">
        <v>2065</v>
      </c>
      <c r="G36" s="39">
        <f>1972+3*(2097-1972)/5</f>
        <v>2047</v>
      </c>
      <c r="H36" s="19">
        <v>1755</v>
      </c>
      <c r="I36" s="46">
        <f>1*(I$33-I$37)/4+I$37</f>
        <v>1716.75</v>
      </c>
      <c r="J36" s="46">
        <v>3064</v>
      </c>
      <c r="K36" s="46">
        <f>4*K$33/7+3*K$40/7</f>
        <v>2395.142857142857</v>
      </c>
      <c r="L36" s="45">
        <f>L37+46</f>
        <v>2024</v>
      </c>
      <c r="M36" s="46">
        <f>M37+88</f>
        <v>2233</v>
      </c>
      <c r="N36" s="45">
        <v>2038</v>
      </c>
      <c r="O36" s="17">
        <v>2210</v>
      </c>
      <c r="P36" s="52">
        <v>31532</v>
      </c>
      <c r="Q36" s="4"/>
      <c r="R36" s="19">
        <f t="shared" si="1"/>
        <v>19.67559523809541</v>
      </c>
      <c r="S36" s="4">
        <f t="shared" si="2"/>
        <v>-152.3244047619046</v>
      </c>
      <c r="T36" s="4">
        <f t="shared" si="3"/>
        <v>42.67559523809541</v>
      </c>
      <c r="U36" s="4">
        <f t="shared" si="4"/>
        <v>-166.3244047619046</v>
      </c>
      <c r="V36" s="4">
        <f t="shared" si="5"/>
        <v>204.8184523809523</v>
      </c>
      <c r="W36" s="4">
        <f t="shared" si="6"/>
        <v>873.6755952380954</v>
      </c>
      <c r="X36" s="4">
        <f t="shared" si="7"/>
        <v>-473.5744047619046</v>
      </c>
      <c r="Y36" s="4">
        <f t="shared" si="8"/>
        <v>-435.3244047619046</v>
      </c>
      <c r="Z36" s="4">
        <f t="shared" si="9"/>
        <v>-143.3244047619046</v>
      </c>
      <c r="AA36" s="4">
        <f t="shared" si="10"/>
        <v>-125.32440476190459</v>
      </c>
      <c r="AB36" s="4">
        <f t="shared" si="20"/>
        <v>-97.32440476190459</v>
      </c>
      <c r="AC36" s="4">
        <f t="shared" si="13"/>
        <v>452.6755952380954</v>
      </c>
      <c r="AD36" s="17">
        <f aca="true" t="shared" si="22" ref="AD36:AD44">C36-B36</f>
        <v>-379.3244047619046</v>
      </c>
      <c r="AE36" s="4">
        <f t="shared" si="12"/>
        <v>33.16964285714266</v>
      </c>
      <c r="AF36" s="17">
        <f t="shared" si="19"/>
        <v>42.75992063492058</v>
      </c>
      <c r="AG36" s="74">
        <f t="shared" si="14"/>
        <v>2240.127551020408</v>
      </c>
      <c r="AH36" s="74">
        <f t="shared" si="15"/>
        <v>1955.6666666666667</v>
      </c>
      <c r="AI36" s="74">
        <f t="shared" si="16"/>
        <v>284.46088435374145</v>
      </c>
    </row>
    <row r="37" spans="1:35" ht="12.75" customHeight="1">
      <c r="A37" s="22">
        <v>31502</v>
      </c>
      <c r="B37" s="17">
        <f>AVERAGE(D37:O37)</f>
        <v>2157.154761904762</v>
      </c>
      <c r="C37" s="74">
        <v>1572</v>
      </c>
      <c r="D37" s="67">
        <v>2631</v>
      </c>
      <c r="E37" s="76">
        <v>2083</v>
      </c>
      <c r="F37" s="21">
        <v>2055</v>
      </c>
      <c r="G37" s="39">
        <f>1972+2*(2097-1972)/5</f>
        <v>2022</v>
      </c>
      <c r="H37" s="19">
        <v>1743</v>
      </c>
      <c r="I37" s="45">
        <v>1642</v>
      </c>
      <c r="J37" s="46">
        <v>2987</v>
      </c>
      <c r="K37" s="46">
        <f>3*K$33/7+4*K$40/7</f>
        <v>2373.857142857143</v>
      </c>
      <c r="L37" s="45">
        <v>1978</v>
      </c>
      <c r="M37" s="46">
        <f>M38+88</f>
        <v>2145</v>
      </c>
      <c r="N37" s="45">
        <v>2026</v>
      </c>
      <c r="O37" s="17">
        <v>2200</v>
      </c>
      <c r="P37" s="52">
        <v>31502</v>
      </c>
      <c r="Q37" s="4"/>
      <c r="R37" s="19">
        <f t="shared" si="1"/>
        <v>42.845238095238074</v>
      </c>
      <c r="S37" s="4">
        <f t="shared" si="2"/>
        <v>-131.15476190476193</v>
      </c>
      <c r="T37" s="4">
        <f t="shared" si="3"/>
        <v>-12.154761904761926</v>
      </c>
      <c r="U37" s="4">
        <f t="shared" si="4"/>
        <v>-179.15476190476193</v>
      </c>
      <c r="V37" s="4">
        <f t="shared" si="5"/>
        <v>216.7023809523812</v>
      </c>
      <c r="W37" s="4">
        <f t="shared" si="6"/>
        <v>829.8452380952381</v>
      </c>
      <c r="X37" s="4">
        <f t="shared" si="7"/>
        <v>-515.1547619047619</v>
      </c>
      <c r="Y37" s="4">
        <f t="shared" si="8"/>
        <v>-414.1547619047619</v>
      </c>
      <c r="Z37" s="4">
        <f t="shared" si="9"/>
        <v>-135.15476190476193</v>
      </c>
      <c r="AA37" s="4">
        <f t="shared" si="10"/>
        <v>-102.15476190476193</v>
      </c>
      <c r="AB37" s="4">
        <f t="shared" si="20"/>
        <v>-74.15476190476193</v>
      </c>
      <c r="AC37" s="4">
        <f t="shared" si="13"/>
        <v>473.8452380952381</v>
      </c>
      <c r="AD37" s="17">
        <f t="shared" si="22"/>
        <v>-585.1547619047619</v>
      </c>
      <c r="AE37" s="4">
        <f t="shared" si="12"/>
        <v>55.35714285714312</v>
      </c>
      <c r="AF37" s="17">
        <f t="shared" si="19"/>
        <v>54.54880952380959</v>
      </c>
      <c r="AG37" s="74">
        <f t="shared" si="14"/>
        <v>2193.122448979592</v>
      </c>
      <c r="AH37" s="74">
        <f t="shared" si="15"/>
        <v>1940</v>
      </c>
      <c r="AI37" s="74">
        <f t="shared" si="16"/>
        <v>253.1224489795918</v>
      </c>
    </row>
    <row r="38" spans="1:35" ht="12.75" customHeight="1">
      <c r="A38" s="22">
        <v>31471</v>
      </c>
      <c r="B38" s="17">
        <f aca="true" t="shared" si="23" ref="B38:B45">AVERAGE(D38:O38)</f>
        <v>2101.797619047619</v>
      </c>
      <c r="C38" s="74">
        <v>1502</v>
      </c>
      <c r="D38" s="67">
        <v>2617</v>
      </c>
      <c r="E38" s="76">
        <v>2082</v>
      </c>
      <c r="F38" s="21">
        <v>1905</v>
      </c>
      <c r="G38" s="39">
        <f>1972+1*(2097-1972)/5</f>
        <v>1997</v>
      </c>
      <c r="H38" s="19">
        <v>1733</v>
      </c>
      <c r="I38" s="45">
        <v>1634</v>
      </c>
      <c r="J38" s="46">
        <v>2911</v>
      </c>
      <c r="K38" s="46">
        <f>2*K$33/7+5*K$40/7</f>
        <v>2352.5714285714284</v>
      </c>
      <c r="L38" s="45">
        <f>L39+4+6+11+1+5+5+5</f>
        <v>1710</v>
      </c>
      <c r="M38" s="46">
        <f>M39+88</f>
        <v>2057</v>
      </c>
      <c r="N38" s="45">
        <v>2023</v>
      </c>
      <c r="O38" s="17">
        <v>2200</v>
      </c>
      <c r="P38" s="52">
        <v>31471</v>
      </c>
      <c r="Q38" s="4"/>
      <c r="R38" s="19">
        <f t="shared" si="1"/>
        <v>98.20238095238119</v>
      </c>
      <c r="S38" s="4">
        <f t="shared" si="2"/>
        <v>-78.79761904761881</v>
      </c>
      <c r="T38" s="4">
        <f t="shared" si="3"/>
        <v>-44.79761904761881</v>
      </c>
      <c r="U38" s="4">
        <f t="shared" si="4"/>
        <v>-391.7976190476188</v>
      </c>
      <c r="V38" s="4">
        <f t="shared" si="5"/>
        <v>250.77380952380963</v>
      </c>
      <c r="W38" s="4">
        <f t="shared" si="6"/>
        <v>809.2023809523812</v>
      </c>
      <c r="X38" s="4">
        <f t="shared" si="7"/>
        <v>-467.7976190476188</v>
      </c>
      <c r="Y38" s="4">
        <f t="shared" si="8"/>
        <v>-368.7976190476188</v>
      </c>
      <c r="Z38" s="4">
        <f t="shared" si="9"/>
        <v>-104.79761904761881</v>
      </c>
      <c r="AA38" s="4">
        <f t="shared" si="10"/>
        <v>-196.7976190476188</v>
      </c>
      <c r="AB38" s="4">
        <f t="shared" si="20"/>
        <v>-19.79761904761881</v>
      </c>
      <c r="AC38" s="4">
        <f t="shared" si="13"/>
        <v>515.2023809523812</v>
      </c>
      <c r="AD38" s="17">
        <f t="shared" si="22"/>
        <v>-599.7976190476188</v>
      </c>
      <c r="AE38" s="4">
        <f t="shared" si="12"/>
        <v>52.64880952380918</v>
      </c>
      <c r="AF38" s="17">
        <f t="shared" si="19"/>
        <v>59.448214285714265</v>
      </c>
      <c r="AG38" s="74">
        <f t="shared" si="14"/>
        <v>2126.795918367347</v>
      </c>
      <c r="AH38" s="74">
        <f t="shared" si="15"/>
        <v>1878.3333333333333</v>
      </c>
      <c r="AI38" s="74">
        <f t="shared" si="16"/>
        <v>248.46258503401373</v>
      </c>
    </row>
    <row r="39" spans="1:35" ht="12.75" customHeight="1">
      <c r="A39" s="22">
        <v>31443</v>
      </c>
      <c r="B39" s="17">
        <f t="shared" si="23"/>
        <v>2049.1488095238096</v>
      </c>
      <c r="C39" s="52">
        <v>1432</v>
      </c>
      <c r="D39" s="67">
        <v>2497</v>
      </c>
      <c r="E39" s="76">
        <v>1967</v>
      </c>
      <c r="F39" s="21">
        <v>1808</v>
      </c>
      <c r="G39" s="21">
        <v>1972</v>
      </c>
      <c r="H39" s="41">
        <f>(H38+H40)/2</f>
        <v>1725.5</v>
      </c>
      <c r="I39" s="45">
        <v>1616</v>
      </c>
      <c r="J39" s="46">
        <v>2834</v>
      </c>
      <c r="K39" s="46">
        <f>1*K$33/7+6*K$40/7</f>
        <v>2331.285714285714</v>
      </c>
      <c r="L39" s="45">
        <f>L40</f>
        <v>1673</v>
      </c>
      <c r="M39" s="45">
        <v>1969</v>
      </c>
      <c r="N39" s="45">
        <v>2017</v>
      </c>
      <c r="O39" s="17">
        <v>2180</v>
      </c>
      <c r="P39" s="52">
        <v>31443</v>
      </c>
      <c r="Q39" s="4"/>
      <c r="R39" s="19">
        <f t="shared" si="1"/>
        <v>130.85119047619037</v>
      </c>
      <c r="S39" s="4">
        <f t="shared" si="2"/>
        <v>-32.14880952380963</v>
      </c>
      <c r="T39" s="4">
        <f t="shared" si="3"/>
        <v>-80.14880952380963</v>
      </c>
      <c r="U39" s="4">
        <f t="shared" si="4"/>
        <v>-376.14880952380963</v>
      </c>
      <c r="V39" s="4">
        <f t="shared" si="5"/>
        <v>282.1369047619046</v>
      </c>
      <c r="W39" s="4">
        <f t="shared" si="6"/>
        <v>784.8511904761904</v>
      </c>
      <c r="X39" s="4">
        <f t="shared" si="7"/>
        <v>-433.14880952380963</v>
      </c>
      <c r="Y39" s="4">
        <f t="shared" si="8"/>
        <v>-323.64880952380963</v>
      </c>
      <c r="Z39" s="4">
        <f t="shared" si="9"/>
        <v>-77.14880952380963</v>
      </c>
      <c r="AA39" s="4">
        <f t="shared" si="10"/>
        <v>-241.14880952380963</v>
      </c>
      <c r="AB39" s="4">
        <f t="shared" si="20"/>
        <v>-82.14880952380963</v>
      </c>
      <c r="AC39" s="4">
        <f t="shared" si="13"/>
        <v>447.85119047619037</v>
      </c>
      <c r="AD39" s="17">
        <f t="shared" si="22"/>
        <v>-617.1488095238096</v>
      </c>
      <c r="AE39" s="4">
        <f t="shared" si="12"/>
        <v>100.06547619047637</v>
      </c>
      <c r="AF39" s="17">
        <f t="shared" si="19"/>
        <v>67.36984126984126</v>
      </c>
      <c r="AG39" s="74">
        <f t="shared" si="14"/>
        <v>2088.612244897959</v>
      </c>
      <c r="AH39" s="74">
        <f t="shared" si="15"/>
        <v>1835.1666666666667</v>
      </c>
      <c r="AI39" s="74">
        <f t="shared" si="16"/>
        <v>253.4455782312923</v>
      </c>
    </row>
    <row r="40" spans="1:35" ht="12.75" customHeight="1">
      <c r="A40" s="22">
        <v>31412</v>
      </c>
      <c r="B40" s="23">
        <f t="shared" si="23"/>
        <v>1949.0833333333333</v>
      </c>
      <c r="C40" s="54">
        <v>1375</v>
      </c>
      <c r="D40" s="67">
        <v>2346</v>
      </c>
      <c r="E40" s="76">
        <v>1902</v>
      </c>
      <c r="F40" s="24">
        <v>1748</v>
      </c>
      <c r="G40" s="24">
        <v>1861</v>
      </c>
      <c r="H40" s="29">
        <v>1718</v>
      </c>
      <c r="I40" s="46">
        <v>1608</v>
      </c>
      <c r="J40" s="46">
        <v>2758</v>
      </c>
      <c r="K40" s="45">
        <v>2310</v>
      </c>
      <c r="L40" s="45">
        <f>L41+3</f>
        <v>1673</v>
      </c>
      <c r="M40" s="45">
        <v>1810</v>
      </c>
      <c r="N40" s="45">
        <v>2005</v>
      </c>
      <c r="O40" s="17">
        <v>1650</v>
      </c>
      <c r="P40" s="52">
        <v>31412</v>
      </c>
      <c r="Q40" s="4"/>
      <c r="R40" s="19">
        <f t="shared" si="1"/>
        <v>-299.08333333333326</v>
      </c>
      <c r="S40" s="4">
        <f t="shared" si="2"/>
        <v>55.91666666666674</v>
      </c>
      <c r="T40" s="4">
        <f t="shared" si="3"/>
        <v>-139.08333333333326</v>
      </c>
      <c r="U40" s="4">
        <f t="shared" si="4"/>
        <v>-276.08333333333326</v>
      </c>
      <c r="V40" s="4">
        <f t="shared" si="5"/>
        <v>360.91666666666674</v>
      </c>
      <c r="W40" s="25">
        <f t="shared" si="6"/>
        <v>808.9166666666667</v>
      </c>
      <c r="X40" s="25">
        <f t="shared" si="7"/>
        <v>-341.08333333333326</v>
      </c>
      <c r="Y40" s="4">
        <f t="shared" si="8"/>
        <v>-231.08333333333326</v>
      </c>
      <c r="Z40" s="4">
        <f t="shared" si="9"/>
        <v>-88.08333333333326</v>
      </c>
      <c r="AA40" s="25">
        <f t="shared" si="10"/>
        <v>-201.08333333333326</v>
      </c>
      <c r="AB40" s="4">
        <f t="shared" si="20"/>
        <v>-47.08333333333326</v>
      </c>
      <c r="AC40" s="25">
        <f t="shared" si="13"/>
        <v>396.91666666666674</v>
      </c>
      <c r="AD40" s="23">
        <f t="shared" si="22"/>
        <v>-574.0833333333333</v>
      </c>
      <c r="AE40" s="4">
        <f t="shared" si="12"/>
        <v>56</v>
      </c>
      <c r="AF40" s="4">
        <f t="shared" si="19"/>
        <v>65.93730158730155</v>
      </c>
      <c r="AG40" s="71">
        <f t="shared" si="14"/>
        <v>1973.4285714285713</v>
      </c>
      <c r="AH40" s="71">
        <f t="shared" si="15"/>
        <v>1775.6666666666667</v>
      </c>
      <c r="AI40" s="71">
        <f t="shared" si="16"/>
        <v>197.7619047619046</v>
      </c>
    </row>
    <row r="41" spans="1:35" ht="12.75" customHeight="1">
      <c r="A41" s="26">
        <v>31381</v>
      </c>
      <c r="B41" s="17">
        <f t="shared" si="23"/>
        <v>1893.0833333333333</v>
      </c>
      <c r="C41" s="74">
        <v>1340</v>
      </c>
      <c r="D41" s="82">
        <v>2199</v>
      </c>
      <c r="E41" s="77">
        <v>1883</v>
      </c>
      <c r="F41" s="21">
        <v>1688</v>
      </c>
      <c r="G41" s="21">
        <v>1789</v>
      </c>
      <c r="H41" s="19">
        <v>1691</v>
      </c>
      <c r="I41" s="48">
        <v>1600</v>
      </c>
      <c r="J41" s="49">
        <v>2681</v>
      </c>
      <c r="K41" s="49">
        <f>4*K$40/5+1*K$45/5</f>
        <v>2273</v>
      </c>
      <c r="L41" s="48">
        <f>L42+3+3+53+88+26+51+10+4</f>
        <v>1670</v>
      </c>
      <c r="M41" s="49">
        <f>M42+34</f>
        <v>1772</v>
      </c>
      <c r="N41" s="48">
        <v>1896</v>
      </c>
      <c r="O41" s="12">
        <v>1575</v>
      </c>
      <c r="P41" s="50">
        <v>31381</v>
      </c>
      <c r="Q41" s="13"/>
      <c r="R41" s="15">
        <f t="shared" si="1"/>
        <v>-318.08333333333326</v>
      </c>
      <c r="S41" s="13">
        <f t="shared" si="2"/>
        <v>2.9166666666667425</v>
      </c>
      <c r="T41" s="13">
        <f t="shared" si="3"/>
        <v>-121.08333333333326</v>
      </c>
      <c r="U41" s="13">
        <f t="shared" si="4"/>
        <v>-223.08333333333326</v>
      </c>
      <c r="V41" s="13">
        <f t="shared" si="5"/>
        <v>379.91666666666674</v>
      </c>
      <c r="W41" s="4">
        <f t="shared" si="6"/>
        <v>787.9166666666667</v>
      </c>
      <c r="X41" s="4">
        <f t="shared" si="7"/>
        <v>-293.08333333333326</v>
      </c>
      <c r="Y41" s="13">
        <f t="shared" si="8"/>
        <v>-202.08333333333326</v>
      </c>
      <c r="Z41" s="13">
        <f t="shared" si="9"/>
        <v>-104.08333333333326</v>
      </c>
      <c r="AA41" s="4">
        <f t="shared" si="10"/>
        <v>-205.08333333333326</v>
      </c>
      <c r="AB41" s="13">
        <f t="shared" si="20"/>
        <v>-10.083333333333258</v>
      </c>
      <c r="AC41" s="4">
        <f t="shared" si="13"/>
        <v>305.91666666666674</v>
      </c>
      <c r="AD41" s="17">
        <f t="shared" si="22"/>
        <v>-553.0833333333333</v>
      </c>
      <c r="AE41" s="13">
        <f t="shared" si="12"/>
        <v>72.7777777777776</v>
      </c>
      <c r="AF41" s="12">
        <f t="shared" si="19"/>
        <v>59.64794372294373</v>
      </c>
      <c r="AG41" s="74">
        <f t="shared" si="14"/>
        <v>1923.857142857143</v>
      </c>
      <c r="AH41" s="74">
        <f t="shared" si="15"/>
        <v>1722.6666666666667</v>
      </c>
      <c r="AI41" s="74">
        <f t="shared" si="16"/>
        <v>201.19047619047615</v>
      </c>
    </row>
    <row r="42" spans="1:35" ht="12.75" customHeight="1">
      <c r="A42" s="22">
        <v>31351</v>
      </c>
      <c r="B42" s="17">
        <f t="shared" si="23"/>
        <v>1820.3055555555557</v>
      </c>
      <c r="C42" s="52">
        <v>1323</v>
      </c>
      <c r="D42" s="67">
        <v>2128</v>
      </c>
      <c r="E42" s="76">
        <v>1861</v>
      </c>
      <c r="F42" s="21">
        <v>1646</v>
      </c>
      <c r="G42" s="39">
        <f>1554+2*(1789-1554)/3</f>
        <v>1710.6666666666667</v>
      </c>
      <c r="H42" s="19">
        <v>1625</v>
      </c>
      <c r="I42" s="45">
        <v>1594</v>
      </c>
      <c r="J42" s="46">
        <v>2605</v>
      </c>
      <c r="K42" s="46">
        <f>3*K$40/5+2*K$45/5</f>
        <v>2236</v>
      </c>
      <c r="L42" s="45">
        <f>L43+5+27+1</f>
        <v>1432</v>
      </c>
      <c r="M42" s="46">
        <f>M43+34</f>
        <v>1738</v>
      </c>
      <c r="N42" s="45">
        <v>1738</v>
      </c>
      <c r="O42" s="17">
        <v>1530</v>
      </c>
      <c r="P42" s="52">
        <v>31351</v>
      </c>
      <c r="Q42" s="4"/>
      <c r="R42" s="19">
        <f t="shared" si="1"/>
        <v>-290.30555555555566</v>
      </c>
      <c r="S42" s="4">
        <f t="shared" si="2"/>
        <v>-82.30555555555566</v>
      </c>
      <c r="T42" s="4">
        <f t="shared" si="3"/>
        <v>-82.30555555555566</v>
      </c>
      <c r="U42" s="4">
        <f t="shared" si="4"/>
        <v>-388.30555555555566</v>
      </c>
      <c r="V42" s="4">
        <f t="shared" si="5"/>
        <v>415.69444444444434</v>
      </c>
      <c r="W42" s="4">
        <f t="shared" si="6"/>
        <v>784.6944444444443</v>
      </c>
      <c r="X42" s="4">
        <f t="shared" si="7"/>
        <v>-226.30555555555566</v>
      </c>
      <c r="Y42" s="4">
        <f t="shared" si="8"/>
        <v>-195.30555555555566</v>
      </c>
      <c r="Z42" s="4">
        <f t="shared" si="9"/>
        <v>-109.63888888888891</v>
      </c>
      <c r="AA42" s="4">
        <f t="shared" si="10"/>
        <v>-174.30555555555566</v>
      </c>
      <c r="AB42" s="4">
        <f t="shared" si="20"/>
        <v>40.69444444444434</v>
      </c>
      <c r="AC42" s="4">
        <f t="shared" si="13"/>
        <v>307.69444444444434</v>
      </c>
      <c r="AD42" s="17">
        <f t="shared" si="22"/>
        <v>-497.30555555555566</v>
      </c>
      <c r="AE42" s="4">
        <f t="shared" si="12"/>
        <v>48.19444444444457</v>
      </c>
      <c r="AF42" s="17">
        <f t="shared" si="19"/>
        <v>55.6712121212121</v>
      </c>
      <c r="AG42" s="74">
        <f t="shared" si="14"/>
        <v>1839</v>
      </c>
      <c r="AH42" s="74">
        <f t="shared" si="15"/>
        <v>1660.5555555555557</v>
      </c>
      <c r="AI42" s="74">
        <f t="shared" si="16"/>
        <v>178.44444444444434</v>
      </c>
    </row>
    <row r="43" spans="1:35" ht="12.75" customHeight="1">
      <c r="A43" s="22">
        <v>31320</v>
      </c>
      <c r="B43" s="17">
        <f t="shared" si="23"/>
        <v>1772.111111111111</v>
      </c>
      <c r="C43" s="52">
        <v>1306</v>
      </c>
      <c r="D43" s="67">
        <v>2103</v>
      </c>
      <c r="E43" s="76">
        <v>1857</v>
      </c>
      <c r="F43" s="21">
        <v>1555</v>
      </c>
      <c r="G43" s="39">
        <f>1554+1*(1789-1554)/3</f>
        <v>1632.3333333333333</v>
      </c>
      <c r="H43" s="19">
        <f>1045+522</f>
        <v>1567</v>
      </c>
      <c r="I43" s="45">
        <v>1561</v>
      </c>
      <c r="J43" s="46">
        <v>2528</v>
      </c>
      <c r="K43" s="46">
        <f>2*K$40/5+3*K$45/5</f>
        <v>2199</v>
      </c>
      <c r="L43" s="45">
        <f>L44+1+5+23+4</f>
        <v>1399</v>
      </c>
      <c r="M43" s="46">
        <f>M44+34</f>
        <v>1704</v>
      </c>
      <c r="N43" s="45">
        <v>1670</v>
      </c>
      <c r="O43" s="17">
        <v>1490</v>
      </c>
      <c r="P43" s="52">
        <v>31320</v>
      </c>
      <c r="Q43" s="4"/>
      <c r="R43" s="19">
        <f t="shared" si="1"/>
        <v>-282.1111111111111</v>
      </c>
      <c r="S43" s="4">
        <f t="shared" si="2"/>
        <v>-102.11111111111109</v>
      </c>
      <c r="T43" s="4">
        <f t="shared" si="3"/>
        <v>-68.11111111111109</v>
      </c>
      <c r="U43" s="4">
        <f t="shared" si="4"/>
        <v>-373.1111111111111</v>
      </c>
      <c r="V43" s="4">
        <f t="shared" si="5"/>
        <v>426.8888888888889</v>
      </c>
      <c r="W43" s="4">
        <f t="shared" si="6"/>
        <v>755.8888888888889</v>
      </c>
      <c r="X43" s="4">
        <f t="shared" si="7"/>
        <v>-211.1111111111111</v>
      </c>
      <c r="Y43" s="4">
        <f t="shared" si="8"/>
        <v>-205.1111111111111</v>
      </c>
      <c r="Z43" s="4">
        <f t="shared" si="9"/>
        <v>-139.77777777777783</v>
      </c>
      <c r="AA43" s="4">
        <f t="shared" si="10"/>
        <v>-217.1111111111111</v>
      </c>
      <c r="AB43" s="4">
        <f t="shared" si="20"/>
        <v>84.88888888888891</v>
      </c>
      <c r="AC43" s="4">
        <f t="shared" si="13"/>
        <v>330.8888888888889</v>
      </c>
      <c r="AD43" s="17">
        <f t="shared" si="22"/>
        <v>-466.1111111111111</v>
      </c>
      <c r="AE43" s="4">
        <f t="shared" si="12"/>
        <v>21.202020202020094</v>
      </c>
      <c r="AF43" s="17">
        <f>(AE42+AE43+AE44)/3</f>
        <v>49.859427609427634</v>
      </c>
      <c r="AG43" s="74">
        <f t="shared" si="14"/>
        <v>1793</v>
      </c>
      <c r="AH43" s="74">
        <f t="shared" si="15"/>
        <v>1584.7777777777776</v>
      </c>
      <c r="AI43" s="74">
        <f t="shared" si="16"/>
        <v>208.2222222222224</v>
      </c>
    </row>
    <row r="44" spans="1:35" ht="12.75" customHeight="1">
      <c r="A44" s="22">
        <v>31290</v>
      </c>
      <c r="B44" s="17">
        <f t="shared" si="23"/>
        <v>1750.909090909091</v>
      </c>
      <c r="C44" s="52">
        <v>1301</v>
      </c>
      <c r="D44" s="67">
        <v>2071</v>
      </c>
      <c r="E44" s="76">
        <v>1818</v>
      </c>
      <c r="F44" s="21">
        <v>1542</v>
      </c>
      <c r="G44" s="21">
        <v>1554</v>
      </c>
      <c r="H44" s="19">
        <f>1001+521</f>
        <v>1522</v>
      </c>
      <c r="I44" s="45"/>
      <c r="J44" s="46">
        <v>2452</v>
      </c>
      <c r="K44" s="46">
        <f>1*K$40/5+4*K$45/5</f>
        <v>2162</v>
      </c>
      <c r="L44" s="45">
        <f>L45+11+7+35+3+65+148+6+3</f>
        <v>1366</v>
      </c>
      <c r="M44" s="46">
        <f>M45+34</f>
        <v>1670</v>
      </c>
      <c r="N44" s="45">
        <v>1663</v>
      </c>
      <c r="O44" s="17">
        <v>1440</v>
      </c>
      <c r="P44" s="52">
        <v>31290</v>
      </c>
      <c r="Q44" s="4"/>
      <c r="R44" s="19">
        <f t="shared" si="1"/>
        <v>-310.909090909091</v>
      </c>
      <c r="S44" s="4">
        <f t="shared" si="2"/>
        <v>-87.90909090909099</v>
      </c>
      <c r="T44" s="4">
        <f t="shared" si="3"/>
        <v>-80.90909090909099</v>
      </c>
      <c r="U44" s="4">
        <f t="shared" si="4"/>
        <v>-384.909090909091</v>
      </c>
      <c r="V44" s="4">
        <f t="shared" si="5"/>
        <v>411.090909090909</v>
      </c>
      <c r="W44" s="4">
        <f t="shared" si="6"/>
        <v>701.090909090909</v>
      </c>
      <c r="Y44" s="4">
        <f t="shared" si="8"/>
        <v>-228.909090909091</v>
      </c>
      <c r="Z44" s="4">
        <f t="shared" si="9"/>
        <v>-196.909090909091</v>
      </c>
      <c r="AA44" s="4">
        <f t="shared" si="10"/>
        <v>-208.909090909091</v>
      </c>
      <c r="AB44" s="4">
        <f t="shared" si="20"/>
        <v>67.09090909090901</v>
      </c>
      <c r="AC44" s="4">
        <f t="shared" si="13"/>
        <v>320.090909090909</v>
      </c>
      <c r="AD44" s="17">
        <f t="shared" si="22"/>
        <v>-449.909090909091</v>
      </c>
      <c r="AE44" s="4">
        <f t="shared" si="12"/>
        <v>80.18181818181824</v>
      </c>
      <c r="AF44" s="17">
        <f>(AE43+AE44)/2</f>
        <v>50.69191919191917</v>
      </c>
      <c r="AG44" s="74">
        <f t="shared" si="14"/>
        <v>1792.1666666666667</v>
      </c>
      <c r="AH44" s="74">
        <f t="shared" si="15"/>
        <v>1539.3333333333333</v>
      </c>
      <c r="AI44" s="74">
        <f t="shared" si="16"/>
        <v>252.83333333333348</v>
      </c>
    </row>
    <row r="45" spans="1:35" ht="12.75" customHeight="1">
      <c r="A45" s="28">
        <v>31259</v>
      </c>
      <c r="B45" s="23">
        <f t="shared" si="23"/>
        <v>1670.7272727272727</v>
      </c>
      <c r="C45" s="54"/>
      <c r="D45" s="83">
        <v>2071</v>
      </c>
      <c r="E45" s="78">
        <v>1834</v>
      </c>
      <c r="F45" s="40">
        <v>1500</v>
      </c>
      <c r="G45" s="24">
        <v>1554</v>
      </c>
      <c r="H45" s="29">
        <f>674+789</f>
        <v>1463</v>
      </c>
      <c r="I45" s="47"/>
      <c r="J45" s="47">
        <v>2375</v>
      </c>
      <c r="K45" s="47">
        <v>2125</v>
      </c>
      <c r="L45" s="47">
        <v>1088</v>
      </c>
      <c r="M45" s="47">
        <v>1636</v>
      </c>
      <c r="N45" s="47">
        <v>1456</v>
      </c>
      <c r="O45" s="23">
        <v>1276</v>
      </c>
      <c r="P45" s="54">
        <v>31259</v>
      </c>
      <c r="Q45" s="25"/>
      <c r="R45" s="29">
        <f t="shared" si="1"/>
        <v>-394.72727272727275</v>
      </c>
      <c r="S45" s="25">
        <f t="shared" si="2"/>
        <v>-214.72727272727275</v>
      </c>
      <c r="T45" s="25">
        <f t="shared" si="3"/>
        <v>-34.72727272727275</v>
      </c>
      <c r="U45" s="25">
        <f t="shared" si="4"/>
        <v>-582.7272727272727</v>
      </c>
      <c r="V45" s="25">
        <f t="shared" si="5"/>
        <v>454.27272727272725</v>
      </c>
      <c r="W45" s="25">
        <f t="shared" si="6"/>
        <v>704.2727272727273</v>
      </c>
      <c r="X45" s="25"/>
      <c r="Y45" s="25">
        <f t="shared" si="8"/>
        <v>-207.72727272727275</v>
      </c>
      <c r="Z45" s="25">
        <f t="shared" si="9"/>
        <v>-116.72727272727275</v>
      </c>
      <c r="AA45" s="25">
        <f t="shared" si="10"/>
        <v>-170.72727272727275</v>
      </c>
      <c r="AB45" s="25">
        <f t="shared" si="20"/>
        <v>163.27272727272725</v>
      </c>
      <c r="AC45" s="25">
        <f t="shared" si="13"/>
        <v>400.27272727272725</v>
      </c>
      <c r="AD45" s="23"/>
      <c r="AE45" s="25"/>
      <c r="AF45" s="23"/>
      <c r="AG45" s="71">
        <f>AVERAGE(I45:O45)</f>
        <v>1659.3333333333333</v>
      </c>
      <c r="AH45" s="71">
        <f t="shared" si="15"/>
        <v>1505.6666666666667</v>
      </c>
      <c r="AI45" s="71">
        <f t="shared" si="16"/>
        <v>153.66666666666652</v>
      </c>
    </row>
    <row r="46" spans="4:29" ht="12.75">
      <c r="D46" s="13"/>
      <c r="E46" s="13"/>
      <c r="F46" s="13"/>
      <c r="G46" s="13"/>
      <c r="AB46" s="13"/>
      <c r="AC46" s="13"/>
    </row>
    <row r="47" spans="1:15" ht="12.75">
      <c r="A47" s="5" t="s">
        <v>26</v>
      </c>
      <c r="D47" s="4">
        <v>804</v>
      </c>
      <c r="E47" s="4">
        <v>531</v>
      </c>
      <c r="F47" s="4">
        <v>922</v>
      </c>
      <c r="G47" s="4">
        <v>763</v>
      </c>
      <c r="H47" s="4">
        <v>600</v>
      </c>
      <c r="I47" s="4">
        <v>365</v>
      </c>
      <c r="J47" s="4">
        <v>1337</v>
      </c>
      <c r="K47" s="4">
        <v>978</v>
      </c>
      <c r="L47" s="4">
        <v>418</v>
      </c>
      <c r="M47" s="4">
        <v>406</v>
      </c>
      <c r="N47" s="4">
        <v>376</v>
      </c>
      <c r="O47" s="4">
        <v>325</v>
      </c>
    </row>
    <row r="48" ht="12.75">
      <c r="P48" s="27"/>
    </row>
    <row r="49" ht="12.75">
      <c r="P49" s="27"/>
    </row>
    <row r="50" spans="1:19" ht="15.75">
      <c r="A50" s="1" t="s">
        <v>27</v>
      </c>
      <c r="B50" s="2"/>
      <c r="C50" s="2"/>
      <c r="D50" s="37"/>
      <c r="E50" s="37"/>
      <c r="F50" s="2"/>
      <c r="G50" s="2"/>
      <c r="H50" s="2"/>
      <c r="P50" s="2"/>
      <c r="R50" s="2"/>
      <c r="S50" s="2"/>
    </row>
    <row r="51" spans="1:19" ht="15.75">
      <c r="A51" s="7" t="s">
        <v>1</v>
      </c>
      <c r="B51" s="2"/>
      <c r="C51" s="2"/>
      <c r="D51" s="37"/>
      <c r="E51" s="37"/>
      <c r="F51" s="2"/>
      <c r="G51" s="2"/>
      <c r="H51" s="2"/>
      <c r="L51" s="27"/>
      <c r="P51" s="2"/>
      <c r="R51" s="2"/>
      <c r="S51" s="2"/>
    </row>
    <row r="52" spans="1:18" ht="13.5" customHeight="1">
      <c r="A52" s="8">
        <f ca="1">NOW()</f>
        <v>36859.38044201389</v>
      </c>
      <c r="B52" s="9"/>
      <c r="C52" s="9"/>
      <c r="F52" s="57"/>
      <c r="G52" s="57"/>
      <c r="H52" s="9"/>
      <c r="I52" s="4" t="s">
        <v>2</v>
      </c>
      <c r="P52" s="9"/>
      <c r="R52" s="9"/>
    </row>
    <row r="53" spans="1:35" ht="12.75" customHeight="1">
      <c r="A53" s="11"/>
      <c r="B53" s="50" t="s">
        <v>3</v>
      </c>
      <c r="C53" s="62" t="str">
        <f>C4</f>
        <v>Glasgow</v>
      </c>
      <c r="D53" s="48" t="str">
        <f aca="true" t="shared" si="24" ref="D53:O53">D4</f>
        <v>N4</v>
      </c>
      <c r="E53" s="48" t="str">
        <f t="shared" si="24"/>
        <v>Torcon</v>
      </c>
      <c r="F53" s="48" t="str">
        <f t="shared" si="24"/>
        <v>Philly</v>
      </c>
      <c r="G53" s="48" t="str">
        <f t="shared" si="24"/>
        <v>Baltimore</v>
      </c>
      <c r="H53" s="48" t="str">
        <f t="shared" si="24"/>
        <v>Texas</v>
      </c>
      <c r="I53" s="48" t="str">
        <f t="shared" si="24"/>
        <v>LA3</v>
      </c>
      <c r="J53" s="48" t="str">
        <f t="shared" si="24"/>
        <v>Glasgow</v>
      </c>
      <c r="K53" s="48" t="str">
        <f t="shared" si="24"/>
        <v>Winnipeg</v>
      </c>
      <c r="L53" s="48" t="str">
        <f t="shared" si="24"/>
        <v>SF</v>
      </c>
      <c r="M53" s="48" t="str">
        <f t="shared" si="24"/>
        <v>Magicon</v>
      </c>
      <c r="N53" s="48" t="str">
        <f t="shared" si="24"/>
        <v>Chicon 5</v>
      </c>
      <c r="O53" s="48" t="str">
        <f t="shared" si="24"/>
        <v>N3</v>
      </c>
      <c r="P53" s="13"/>
      <c r="Q53" s="13"/>
      <c r="R53" s="15" t="s">
        <v>16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 t="s">
        <v>17</v>
      </c>
      <c r="AF53" s="12" t="s">
        <v>18</v>
      </c>
      <c r="AG53" s="72" t="s">
        <v>47</v>
      </c>
      <c r="AH53" s="72" t="s">
        <v>48</v>
      </c>
      <c r="AI53" s="72" t="s">
        <v>46</v>
      </c>
    </row>
    <row r="54" spans="1:35" ht="12.75" customHeight="1">
      <c r="A54" s="16"/>
      <c r="B54" s="52"/>
      <c r="C54" s="63">
        <f>C5</f>
        <v>2005</v>
      </c>
      <c r="D54" s="44">
        <f aca="true" t="shared" si="25" ref="D54:O54">D5</f>
        <v>2004</v>
      </c>
      <c r="E54" s="44">
        <f t="shared" si="25"/>
        <v>2003</v>
      </c>
      <c r="F54" s="44">
        <f t="shared" si="25"/>
        <v>2001</v>
      </c>
      <c r="G54" s="44">
        <f t="shared" si="25"/>
        <v>1998</v>
      </c>
      <c r="H54" s="44">
        <f t="shared" si="25"/>
        <v>1997</v>
      </c>
      <c r="I54" s="44">
        <f t="shared" si="25"/>
        <v>1996</v>
      </c>
      <c r="J54" s="44">
        <f t="shared" si="25"/>
        <v>1995</v>
      </c>
      <c r="K54" s="44">
        <f t="shared" si="25"/>
        <v>1994</v>
      </c>
      <c r="L54" s="44">
        <f t="shared" si="25"/>
        <v>1993</v>
      </c>
      <c r="M54" s="44">
        <f t="shared" si="25"/>
        <v>1992</v>
      </c>
      <c r="N54" s="44">
        <f t="shared" si="25"/>
        <v>1991</v>
      </c>
      <c r="O54" s="44">
        <f t="shared" si="25"/>
        <v>1989</v>
      </c>
      <c r="Q54" s="4"/>
      <c r="R54" s="19" t="str">
        <f>R5</f>
        <v>N3</v>
      </c>
      <c r="S54" s="4" t="str">
        <f aca="true" t="shared" si="26" ref="S54:AC54">S5</f>
        <v>Chicon</v>
      </c>
      <c r="T54" s="4" t="str">
        <f t="shared" si="26"/>
        <v>Magicon</v>
      </c>
      <c r="U54" s="4" t="str">
        <f t="shared" si="26"/>
        <v>SF</v>
      </c>
      <c r="V54" s="4" t="str">
        <f t="shared" si="26"/>
        <v>Winnipeg</v>
      </c>
      <c r="W54" s="4" t="str">
        <f t="shared" si="26"/>
        <v>Glasgow</v>
      </c>
      <c r="X54" s="4" t="str">
        <f t="shared" si="26"/>
        <v>LA</v>
      </c>
      <c r="Y54" s="4" t="str">
        <f t="shared" si="26"/>
        <v>TX</v>
      </c>
      <c r="Z54" s="4" t="str">
        <f t="shared" si="26"/>
        <v>Balt</v>
      </c>
      <c r="AA54" s="4" t="str">
        <f t="shared" si="26"/>
        <v>Philly</v>
      </c>
      <c r="AB54" s="4" t="str">
        <f t="shared" si="26"/>
        <v>Tor</v>
      </c>
      <c r="AC54" s="4" t="str">
        <f t="shared" si="26"/>
        <v>N4</v>
      </c>
      <c r="AD54" s="17" t="s">
        <v>10</v>
      </c>
      <c r="AF54" s="17"/>
      <c r="AG54" s="73"/>
      <c r="AH54" s="73"/>
      <c r="AI54" s="73"/>
    </row>
    <row r="55" spans="1:35" ht="12.75" customHeight="1">
      <c r="A55" s="55" t="s">
        <v>24</v>
      </c>
      <c r="B55" s="58"/>
      <c r="C55" s="64"/>
      <c r="D55" s="38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68"/>
      <c r="P55" s="59" t="s">
        <v>24</v>
      </c>
      <c r="Q55" s="4"/>
      <c r="R55" s="19"/>
      <c r="AD55" s="17"/>
      <c r="AF55" s="17"/>
      <c r="AG55" s="73"/>
      <c r="AH55" s="73"/>
      <c r="AI55" s="73"/>
    </row>
    <row r="56" spans="1:35" ht="12.75" customHeight="1">
      <c r="A56" s="22" t="s">
        <v>25</v>
      </c>
      <c r="B56" s="52"/>
      <c r="C56" s="65"/>
      <c r="D56" s="21"/>
      <c r="E56" s="45"/>
      <c r="F56" s="45"/>
      <c r="G56" s="45"/>
      <c r="H56" s="45"/>
      <c r="I56" s="45"/>
      <c r="J56" s="45"/>
      <c r="K56" s="45"/>
      <c r="L56" s="45"/>
      <c r="M56" s="45"/>
      <c r="N56" s="45">
        <v>5618</v>
      </c>
      <c r="O56" s="69">
        <v>7250</v>
      </c>
      <c r="P56" s="59" t="s">
        <v>25</v>
      </c>
      <c r="Q56" s="4"/>
      <c r="R56" s="19"/>
      <c r="AD56" s="17"/>
      <c r="AF56" s="17"/>
      <c r="AG56" s="73"/>
      <c r="AH56" s="73"/>
      <c r="AI56" s="73"/>
    </row>
    <row r="57" spans="1:35" ht="12.75" customHeight="1">
      <c r="A57" s="22">
        <v>32386</v>
      </c>
      <c r="B57" s="52"/>
      <c r="C57" s="65"/>
      <c r="D57" s="2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69">
        <v>6950</v>
      </c>
      <c r="P57" s="59">
        <v>32386</v>
      </c>
      <c r="Q57" s="4"/>
      <c r="R57" s="19"/>
      <c r="AD57" s="17"/>
      <c r="AF57" s="17"/>
      <c r="AG57" s="73"/>
      <c r="AH57" s="73"/>
      <c r="AI57" s="73"/>
    </row>
    <row r="58" spans="1:35" ht="12.75" customHeight="1">
      <c r="A58" s="22">
        <v>32355</v>
      </c>
      <c r="B58" s="52"/>
      <c r="C58" s="65"/>
      <c r="D58" s="21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69"/>
      <c r="P58" s="59">
        <v>32355</v>
      </c>
      <c r="Q58" s="4"/>
      <c r="R58" s="19"/>
      <c r="AD58" s="17"/>
      <c r="AF58" s="17"/>
      <c r="AG58" s="73"/>
      <c r="AH58" s="73"/>
      <c r="AI58" s="73"/>
    </row>
    <row r="59" spans="1:35" ht="12.75" customHeight="1">
      <c r="A59" s="22">
        <v>32324</v>
      </c>
      <c r="B59" s="52">
        <f aca="true" t="shared" si="27" ref="B59:B83">AVERAGE(D59:O59)</f>
        <v>4520.727272727273</v>
      </c>
      <c r="C59" s="65"/>
      <c r="D59" s="21"/>
      <c r="E59" s="45">
        <v>3684</v>
      </c>
      <c r="F59" s="45">
        <f aca="true" t="shared" si="28" ref="F59:F94">F10-F$47</f>
        <v>4247</v>
      </c>
      <c r="G59" s="45">
        <f aca="true" t="shared" si="29" ref="G59:G94">G10-G$47</f>
        <v>4148</v>
      </c>
      <c r="H59" s="45">
        <f aca="true" t="shared" si="30" ref="H59:H94">H10-H$47</f>
        <v>3774</v>
      </c>
      <c r="I59" s="45">
        <f aca="true" t="shared" si="31" ref="I59:I92">I10-I$47</f>
        <v>4892</v>
      </c>
      <c r="J59" s="45">
        <f aca="true" t="shared" si="32" ref="J59:J94">J10-J$47</f>
        <v>4566</v>
      </c>
      <c r="K59" s="45">
        <f aca="true" t="shared" si="33" ref="K59:K94">K10-K$47</f>
        <v>3410</v>
      </c>
      <c r="L59" s="45">
        <f aca="true" t="shared" si="34" ref="L59:L94">L10-L$47</f>
        <v>5582</v>
      </c>
      <c r="M59" s="45">
        <f aca="true" t="shared" si="35" ref="M59:M94">M10-M$47</f>
        <v>4911</v>
      </c>
      <c r="N59" s="45">
        <f aca="true" t="shared" si="36" ref="N59:N94">N10-N$47</f>
        <v>4629</v>
      </c>
      <c r="O59" s="69">
        <f>O10-O$47</f>
        <v>5885</v>
      </c>
      <c r="P59" s="59">
        <v>32324</v>
      </c>
      <c r="Q59" s="4"/>
      <c r="R59" s="19">
        <f aca="true" t="shared" si="37" ref="R59:R94">O59-B59</f>
        <v>1364.272727272727</v>
      </c>
      <c r="S59" s="4">
        <f aca="true" t="shared" si="38" ref="S59:S94">N59-B59</f>
        <v>108.27272727272702</v>
      </c>
      <c r="T59" s="4">
        <f aca="true" t="shared" si="39" ref="T59:T94">M59-B59</f>
        <v>390.272727272727</v>
      </c>
      <c r="U59" s="4">
        <f aca="true" t="shared" si="40" ref="U59:U94">L59-B59</f>
        <v>1061.272727272727</v>
      </c>
      <c r="V59" s="4">
        <f aca="true" t="shared" si="41" ref="V59:V94">$K59-$B59</f>
        <v>-1110.727272727273</v>
      </c>
      <c r="W59" s="4">
        <f aca="true" t="shared" si="42" ref="W59:W94">$J59-$B59</f>
        <v>45.272727272727025</v>
      </c>
      <c r="X59" s="4">
        <f aca="true" t="shared" si="43" ref="X59:X92">$I59-$B59</f>
        <v>371.272727272727</v>
      </c>
      <c r="Y59" s="4">
        <f aca="true" t="shared" si="44" ref="Y59:Y94">$H59-$B59</f>
        <v>-746.727272727273</v>
      </c>
      <c r="Z59" s="4">
        <f aca="true" t="shared" si="45" ref="Z59:Z94">$G59-$B59</f>
        <v>-372.727272727273</v>
      </c>
      <c r="AA59" s="4">
        <f aca="true" t="shared" si="46" ref="AA59:AA94">$F59-$B59</f>
        <v>-273.727272727273</v>
      </c>
      <c r="AB59" s="4">
        <f aca="true" t="shared" si="47" ref="AB59:AB68">$E59-$B59</f>
        <v>-836.727272727273</v>
      </c>
      <c r="AD59" s="17"/>
      <c r="AE59" s="4">
        <f aca="true" t="shared" si="48" ref="AE59:AE93">B59-B60</f>
        <v>499.04393939394004</v>
      </c>
      <c r="AF59" s="17">
        <f>(AE59+AE60)/2</f>
        <v>357.4789141414142</v>
      </c>
      <c r="AG59" s="74">
        <f aca="true" t="shared" si="49" ref="AG59:AG94">AVERAGE(I59:O59)</f>
        <v>4839.285714285715</v>
      </c>
      <c r="AH59" s="74">
        <f aca="true" t="shared" si="50" ref="AH59:AH94">AVERAGE(F59:H59)</f>
        <v>4056.3333333333335</v>
      </c>
      <c r="AI59" s="74">
        <f>AG59-AH59</f>
        <v>782.9523809523812</v>
      </c>
    </row>
    <row r="60" spans="1:35" ht="12.75" customHeight="1">
      <c r="A60" s="22">
        <v>32294</v>
      </c>
      <c r="B60" s="52">
        <f t="shared" si="27"/>
        <v>4021.683333333333</v>
      </c>
      <c r="C60" s="65"/>
      <c r="D60" s="21">
        <f>4711-915</f>
        <v>3796</v>
      </c>
      <c r="E60" s="45">
        <v>3431</v>
      </c>
      <c r="F60" s="45">
        <f t="shared" si="28"/>
        <v>3213</v>
      </c>
      <c r="G60" s="45">
        <f t="shared" si="29"/>
        <v>3866.2</v>
      </c>
      <c r="H60" s="45">
        <f t="shared" si="30"/>
        <v>3000</v>
      </c>
      <c r="I60" s="45">
        <f t="shared" si="31"/>
        <v>4255</v>
      </c>
      <c r="J60" s="45">
        <f t="shared" si="32"/>
        <v>4211</v>
      </c>
      <c r="K60" s="45">
        <f t="shared" si="33"/>
        <v>3199</v>
      </c>
      <c r="L60" s="45">
        <f t="shared" si="34"/>
        <v>5192</v>
      </c>
      <c r="M60" s="45">
        <f t="shared" si="35"/>
        <v>4585</v>
      </c>
      <c r="N60" s="45">
        <f t="shared" si="36"/>
        <v>4317</v>
      </c>
      <c r="O60" s="69">
        <f aca="true" t="shared" si="51" ref="O60:O94">O11-O$47</f>
        <v>5195</v>
      </c>
      <c r="P60" s="59">
        <v>32294</v>
      </c>
      <c r="Q60" s="4"/>
      <c r="R60" s="19">
        <f t="shared" si="37"/>
        <v>1173.316666666667</v>
      </c>
      <c r="S60" s="4">
        <f t="shared" si="38"/>
        <v>295.31666666666706</v>
      </c>
      <c r="T60" s="4">
        <f t="shared" si="39"/>
        <v>563.3166666666671</v>
      </c>
      <c r="U60" s="4">
        <f t="shared" si="40"/>
        <v>1170.316666666667</v>
      </c>
      <c r="V60" s="4">
        <f t="shared" si="41"/>
        <v>-822.6833333333329</v>
      </c>
      <c r="W60" s="4">
        <f t="shared" si="42"/>
        <v>189.31666666666706</v>
      </c>
      <c r="X60" s="4">
        <f t="shared" si="43"/>
        <v>233.31666666666706</v>
      </c>
      <c r="Y60" s="4">
        <f t="shared" si="44"/>
        <v>-1021.6833333333329</v>
      </c>
      <c r="Z60" s="4">
        <f t="shared" si="45"/>
        <v>-155.48333333333312</v>
      </c>
      <c r="AA60" s="4">
        <f t="shared" si="46"/>
        <v>-808.6833333333329</v>
      </c>
      <c r="AB60" s="4">
        <f t="shared" si="47"/>
        <v>-590.6833333333329</v>
      </c>
      <c r="AC60" s="4">
        <f aca="true" t="shared" si="52" ref="AC60:AC69">$D60-$B60</f>
        <v>-225.68333333333294</v>
      </c>
      <c r="AD60" s="17"/>
      <c r="AE60" s="4">
        <f t="shared" si="48"/>
        <v>215.91388888888832</v>
      </c>
      <c r="AF60" s="17">
        <f>(AE59+AE60+AE61)/3</f>
        <v>294.4724242424243</v>
      </c>
      <c r="AG60" s="74">
        <f t="shared" si="49"/>
        <v>4422</v>
      </c>
      <c r="AH60" s="74">
        <f t="shared" si="50"/>
        <v>3359.7333333333336</v>
      </c>
      <c r="AI60" s="74">
        <f aca="true" t="shared" si="53" ref="AI60:AI94">AG60-AH60</f>
        <v>1062.2666666666664</v>
      </c>
    </row>
    <row r="61" spans="1:35" ht="12.75" customHeight="1">
      <c r="A61" s="22">
        <v>32263</v>
      </c>
      <c r="B61" s="52">
        <f t="shared" si="27"/>
        <v>3805.7694444444446</v>
      </c>
      <c r="C61" s="65"/>
      <c r="D61" s="21">
        <f>3433+112+4+3+2</f>
        <v>3554</v>
      </c>
      <c r="E61" s="45">
        <v>3294</v>
      </c>
      <c r="F61" s="45">
        <f t="shared" si="28"/>
        <v>2940</v>
      </c>
      <c r="G61" s="45">
        <f t="shared" si="29"/>
        <v>3584.3999999999996</v>
      </c>
      <c r="H61" s="45">
        <f t="shared" si="30"/>
        <v>2863.3333333333335</v>
      </c>
      <c r="I61" s="45">
        <f t="shared" si="31"/>
        <v>3920</v>
      </c>
      <c r="J61" s="45">
        <f t="shared" si="32"/>
        <v>4093</v>
      </c>
      <c r="K61" s="45">
        <f t="shared" si="33"/>
        <v>3045.5</v>
      </c>
      <c r="L61" s="45">
        <f t="shared" si="34"/>
        <v>4901</v>
      </c>
      <c r="M61" s="45">
        <f t="shared" si="35"/>
        <v>4382</v>
      </c>
      <c r="N61" s="45">
        <f t="shared" si="36"/>
        <v>4157</v>
      </c>
      <c r="O61" s="69">
        <f t="shared" si="51"/>
        <v>4935</v>
      </c>
      <c r="P61" s="59">
        <v>32263</v>
      </c>
      <c r="Q61" s="4"/>
      <c r="R61" s="19">
        <f t="shared" si="37"/>
        <v>1129.2305555555554</v>
      </c>
      <c r="S61" s="4">
        <f t="shared" si="38"/>
        <v>351.2305555555554</v>
      </c>
      <c r="T61" s="4">
        <f t="shared" si="39"/>
        <v>576.2305555555554</v>
      </c>
      <c r="U61" s="4">
        <f t="shared" si="40"/>
        <v>1095.2305555555554</v>
      </c>
      <c r="V61" s="4">
        <f t="shared" si="41"/>
        <v>-760.2694444444446</v>
      </c>
      <c r="W61" s="4">
        <f t="shared" si="42"/>
        <v>287.2305555555554</v>
      </c>
      <c r="X61" s="4">
        <f t="shared" si="43"/>
        <v>114.23055555555538</v>
      </c>
      <c r="Y61" s="4">
        <f t="shared" si="44"/>
        <v>-942.4361111111111</v>
      </c>
      <c r="Z61" s="4">
        <f t="shared" si="45"/>
        <v>-221.36944444444498</v>
      </c>
      <c r="AA61" s="4">
        <f t="shared" si="46"/>
        <v>-865.7694444444446</v>
      </c>
      <c r="AB61" s="4">
        <f t="shared" si="47"/>
        <v>-511.7694444444446</v>
      </c>
      <c r="AC61" s="4">
        <f t="shared" si="52"/>
        <v>-251.76944444444462</v>
      </c>
      <c r="AD61" s="17"/>
      <c r="AE61" s="4">
        <f t="shared" si="48"/>
        <v>168.45944444444467</v>
      </c>
      <c r="AF61" s="17">
        <f aca="true" t="shared" si="54" ref="AF61:AF66">(AE59+AE60+AE61+AE62+AE63)/5</f>
        <v>249.26489898989902</v>
      </c>
      <c r="AG61" s="74">
        <f t="shared" si="49"/>
        <v>4204.785714285715</v>
      </c>
      <c r="AH61" s="74">
        <f t="shared" si="50"/>
        <v>3129.2444444444445</v>
      </c>
      <c r="AI61" s="74">
        <f t="shared" si="53"/>
        <v>1075.5412698412702</v>
      </c>
    </row>
    <row r="62" spans="1:35" ht="12.75" customHeight="1">
      <c r="A62" s="22">
        <v>32233</v>
      </c>
      <c r="B62" s="52">
        <f t="shared" si="27"/>
        <v>3637.31</v>
      </c>
      <c r="C62" s="65"/>
      <c r="D62" s="88">
        <f>(D61+D63)/2</f>
        <v>3485.5</v>
      </c>
      <c r="E62" s="45">
        <v>3183</v>
      </c>
      <c r="F62" s="45">
        <f t="shared" si="28"/>
        <v>2645</v>
      </c>
      <c r="G62" s="45">
        <f t="shared" si="29"/>
        <v>3302.6</v>
      </c>
      <c r="H62" s="45">
        <f t="shared" si="30"/>
        <v>2690</v>
      </c>
      <c r="I62" s="45">
        <f t="shared" si="31"/>
        <v>3701</v>
      </c>
      <c r="J62" s="45">
        <f t="shared" si="32"/>
        <v>3938</v>
      </c>
      <c r="K62" s="45">
        <f t="shared" si="33"/>
        <v>2892</v>
      </c>
      <c r="L62" s="45">
        <f t="shared" si="34"/>
        <v>4643.62</v>
      </c>
      <c r="M62" s="45">
        <f t="shared" si="35"/>
        <v>4346</v>
      </c>
      <c r="N62" s="45">
        <f t="shared" si="36"/>
        <v>4106</v>
      </c>
      <c r="O62" s="69">
        <f t="shared" si="51"/>
        <v>4715</v>
      </c>
      <c r="P62" s="59">
        <v>32233</v>
      </c>
      <c r="Q62" s="4"/>
      <c r="R62" s="19">
        <f t="shared" si="37"/>
        <v>1077.69</v>
      </c>
      <c r="S62" s="4">
        <f t="shared" si="38"/>
        <v>468.69000000000005</v>
      </c>
      <c r="T62" s="4">
        <f t="shared" si="39"/>
        <v>708.69</v>
      </c>
      <c r="U62" s="4">
        <f t="shared" si="40"/>
        <v>1006.31</v>
      </c>
      <c r="V62" s="4">
        <f t="shared" si="41"/>
        <v>-745.31</v>
      </c>
      <c r="W62" s="4">
        <f t="shared" si="42"/>
        <v>300.69000000000005</v>
      </c>
      <c r="X62" s="4">
        <f t="shared" si="43"/>
        <v>63.690000000000055</v>
      </c>
      <c r="Y62" s="4">
        <f t="shared" si="44"/>
        <v>-947.31</v>
      </c>
      <c r="Z62" s="4">
        <f t="shared" si="45"/>
        <v>-334.71000000000004</v>
      </c>
      <c r="AA62" s="4">
        <f t="shared" si="46"/>
        <v>-992.31</v>
      </c>
      <c r="AB62" s="4">
        <f t="shared" si="47"/>
        <v>-454.30999999999995</v>
      </c>
      <c r="AC62" s="4">
        <f t="shared" si="52"/>
        <v>-151.80999999999995</v>
      </c>
      <c r="AD62" s="17"/>
      <c r="AE62" s="4">
        <f t="shared" si="48"/>
        <v>164.1246166666665</v>
      </c>
      <c r="AF62" s="17">
        <f t="shared" si="54"/>
        <v>176.90657407407397</v>
      </c>
      <c r="AG62" s="74">
        <f t="shared" si="49"/>
        <v>4048.802857142857</v>
      </c>
      <c r="AH62" s="74">
        <f t="shared" si="50"/>
        <v>2879.2000000000003</v>
      </c>
      <c r="AI62" s="74">
        <f t="shared" si="53"/>
        <v>1169.602857142857</v>
      </c>
    </row>
    <row r="63" spans="1:35" ht="12.75" customHeight="1">
      <c r="A63" s="22">
        <v>32202</v>
      </c>
      <c r="B63" s="52">
        <f t="shared" si="27"/>
        <v>3473.1853833333334</v>
      </c>
      <c r="C63" s="65"/>
      <c r="D63" s="21">
        <f>3306+107+4</f>
        <v>3417</v>
      </c>
      <c r="E63" s="45">
        <v>3098</v>
      </c>
      <c r="F63" s="45">
        <f t="shared" si="28"/>
        <v>2467</v>
      </c>
      <c r="G63" s="45">
        <f t="shared" si="29"/>
        <v>3020.8</v>
      </c>
      <c r="H63" s="45">
        <f t="shared" si="30"/>
        <v>2600</v>
      </c>
      <c r="I63" s="45">
        <f t="shared" si="31"/>
        <v>3482</v>
      </c>
      <c r="J63" s="45">
        <f t="shared" si="32"/>
        <v>3783</v>
      </c>
      <c r="K63" s="45">
        <f t="shared" si="33"/>
        <v>2809.75</v>
      </c>
      <c r="L63" s="45">
        <f t="shared" si="34"/>
        <v>4201.6746</v>
      </c>
      <c r="M63" s="45">
        <f t="shared" si="35"/>
        <v>4276</v>
      </c>
      <c r="N63" s="45">
        <f t="shared" si="36"/>
        <v>3948</v>
      </c>
      <c r="O63" s="69">
        <f t="shared" si="51"/>
        <v>4575</v>
      </c>
      <c r="P63" s="59">
        <v>32202</v>
      </c>
      <c r="Q63" s="4"/>
      <c r="R63" s="19">
        <f t="shared" si="37"/>
        <v>1101.8146166666666</v>
      </c>
      <c r="S63" s="4">
        <f t="shared" si="38"/>
        <v>474.81461666666655</v>
      </c>
      <c r="T63" s="4">
        <f t="shared" si="39"/>
        <v>802.8146166666666</v>
      </c>
      <c r="U63" s="4">
        <f t="shared" si="40"/>
        <v>728.4892166666668</v>
      </c>
      <c r="V63" s="4">
        <f t="shared" si="41"/>
        <v>-663.4353833333334</v>
      </c>
      <c r="W63" s="4">
        <f t="shared" si="42"/>
        <v>309.81461666666655</v>
      </c>
      <c r="X63" s="4">
        <f t="shared" si="43"/>
        <v>8.814616666666552</v>
      </c>
      <c r="Y63" s="4">
        <f t="shared" si="44"/>
        <v>-873.1853833333334</v>
      </c>
      <c r="Z63" s="4">
        <f t="shared" si="45"/>
        <v>-452.38538333333327</v>
      </c>
      <c r="AA63" s="4">
        <f t="shared" si="46"/>
        <v>-1006.1853833333334</v>
      </c>
      <c r="AB63" s="4">
        <f t="shared" si="47"/>
        <v>-375.18538333333345</v>
      </c>
      <c r="AC63" s="4">
        <f t="shared" si="52"/>
        <v>-56.18538333333345</v>
      </c>
      <c r="AD63" s="17"/>
      <c r="AE63" s="4">
        <f t="shared" si="48"/>
        <v>198.78260555555562</v>
      </c>
      <c r="AF63" s="17">
        <f t="shared" si="54"/>
        <v>165.30388888888893</v>
      </c>
      <c r="AG63" s="74">
        <f t="shared" si="49"/>
        <v>3867.9177999999997</v>
      </c>
      <c r="AH63" s="74">
        <f t="shared" si="50"/>
        <v>2695.9333333333334</v>
      </c>
      <c r="AI63" s="74">
        <f t="shared" si="53"/>
        <v>1171.9844666666663</v>
      </c>
    </row>
    <row r="64" spans="1:35" ht="12.75" customHeight="1">
      <c r="A64" s="22">
        <v>32174</v>
      </c>
      <c r="B64" s="52">
        <f t="shared" si="27"/>
        <v>3274.402777777778</v>
      </c>
      <c r="C64" s="65"/>
      <c r="D64" s="21">
        <f>3186+102+4</f>
        <v>3292</v>
      </c>
      <c r="E64" s="45">
        <v>3022</v>
      </c>
      <c r="F64" s="45">
        <f t="shared" si="28"/>
        <v>2351</v>
      </c>
      <c r="G64" s="45">
        <f t="shared" si="29"/>
        <v>2739</v>
      </c>
      <c r="H64" s="45">
        <f t="shared" si="30"/>
        <v>2505.3333333333335</v>
      </c>
      <c r="I64" s="45">
        <f t="shared" si="31"/>
        <v>3358</v>
      </c>
      <c r="J64" s="45">
        <f t="shared" si="32"/>
        <v>3628</v>
      </c>
      <c r="K64" s="45">
        <f t="shared" si="33"/>
        <v>2727.5</v>
      </c>
      <c r="L64" s="45">
        <f t="shared" si="34"/>
        <v>4144</v>
      </c>
      <c r="M64" s="45">
        <f t="shared" si="35"/>
        <v>3841</v>
      </c>
      <c r="N64" s="45">
        <f t="shared" si="36"/>
        <v>3730</v>
      </c>
      <c r="O64" s="69">
        <f t="shared" si="51"/>
        <v>3955</v>
      </c>
      <c r="P64" s="59">
        <v>32174</v>
      </c>
      <c r="Q64" s="4"/>
      <c r="R64" s="19">
        <f t="shared" si="37"/>
        <v>680.5972222222222</v>
      </c>
      <c r="S64" s="4">
        <f t="shared" si="38"/>
        <v>455.5972222222222</v>
      </c>
      <c r="T64" s="4">
        <f t="shared" si="39"/>
        <v>566.5972222222222</v>
      </c>
      <c r="U64" s="4">
        <f t="shared" si="40"/>
        <v>869.5972222222222</v>
      </c>
      <c r="V64" s="4">
        <f t="shared" si="41"/>
        <v>-546.9027777777778</v>
      </c>
      <c r="W64" s="4">
        <f t="shared" si="42"/>
        <v>353.5972222222222</v>
      </c>
      <c r="X64" s="4">
        <f t="shared" si="43"/>
        <v>83.59722222222217</v>
      </c>
      <c r="Y64" s="4">
        <f t="shared" si="44"/>
        <v>-769.0694444444443</v>
      </c>
      <c r="Z64" s="4">
        <f t="shared" si="45"/>
        <v>-535.4027777777778</v>
      </c>
      <c r="AA64" s="4">
        <f t="shared" si="46"/>
        <v>-923.4027777777778</v>
      </c>
      <c r="AB64" s="4">
        <f t="shared" si="47"/>
        <v>-252.40277777777783</v>
      </c>
      <c r="AC64" s="4">
        <f t="shared" si="52"/>
        <v>17.59722222222217</v>
      </c>
      <c r="AD64" s="17"/>
      <c r="AE64" s="4">
        <f t="shared" si="48"/>
        <v>137.25231481481478</v>
      </c>
      <c r="AF64" s="17">
        <f t="shared" si="54"/>
        <v>159.78699999999998</v>
      </c>
      <c r="AG64" s="74">
        <f t="shared" si="49"/>
        <v>3626.214285714286</v>
      </c>
      <c r="AH64" s="74">
        <f t="shared" si="50"/>
        <v>2531.777777777778</v>
      </c>
      <c r="AI64" s="74">
        <f t="shared" si="53"/>
        <v>1094.436507936508</v>
      </c>
    </row>
    <row r="65" spans="1:35" ht="12.75">
      <c r="A65" s="22">
        <v>32143</v>
      </c>
      <c r="B65" s="71">
        <f t="shared" si="27"/>
        <v>3137.150462962963</v>
      </c>
      <c r="C65" s="66"/>
      <c r="D65" s="24">
        <f>2960+95+4</f>
        <v>3059</v>
      </c>
      <c r="E65" s="47">
        <v>2888</v>
      </c>
      <c r="F65" s="47">
        <f t="shared" si="28"/>
        <v>2265</v>
      </c>
      <c r="G65" s="47">
        <f t="shared" si="29"/>
        <v>2621</v>
      </c>
      <c r="H65" s="47">
        <f t="shared" si="30"/>
        <v>2405.5555555555557</v>
      </c>
      <c r="I65" s="47">
        <f t="shared" si="31"/>
        <v>3266</v>
      </c>
      <c r="J65" s="47">
        <f t="shared" si="32"/>
        <v>3473</v>
      </c>
      <c r="K65" s="47">
        <f t="shared" si="33"/>
        <v>2645.25</v>
      </c>
      <c r="L65" s="47">
        <f t="shared" si="34"/>
        <v>3984</v>
      </c>
      <c r="M65" s="47">
        <f t="shared" si="35"/>
        <v>3704</v>
      </c>
      <c r="N65" s="47">
        <f t="shared" si="36"/>
        <v>3660</v>
      </c>
      <c r="O65" s="70">
        <f t="shared" si="51"/>
        <v>3675</v>
      </c>
      <c r="P65" s="59">
        <v>32143</v>
      </c>
      <c r="Q65" s="4"/>
      <c r="R65" s="19">
        <f t="shared" si="37"/>
        <v>537.849537037037</v>
      </c>
      <c r="S65" s="4">
        <f t="shared" si="38"/>
        <v>522.849537037037</v>
      </c>
      <c r="T65" s="4">
        <f t="shared" si="39"/>
        <v>566.849537037037</v>
      </c>
      <c r="U65" s="4">
        <f t="shared" si="40"/>
        <v>846.849537037037</v>
      </c>
      <c r="V65" s="4">
        <f t="shared" si="41"/>
        <v>-491.90046296296305</v>
      </c>
      <c r="W65" s="4">
        <f t="shared" si="42"/>
        <v>335.84953703703695</v>
      </c>
      <c r="X65" s="4">
        <f t="shared" si="43"/>
        <v>128.84953703703695</v>
      </c>
      <c r="Y65" s="25">
        <f t="shared" si="44"/>
        <v>-731.5949074074074</v>
      </c>
      <c r="Z65" s="25">
        <f t="shared" si="45"/>
        <v>-516.150462962963</v>
      </c>
      <c r="AA65" s="25">
        <f t="shared" si="46"/>
        <v>-872.150462962963</v>
      </c>
      <c r="AB65" s="25">
        <f t="shared" si="47"/>
        <v>-249.15046296296305</v>
      </c>
      <c r="AC65" s="25">
        <f t="shared" si="52"/>
        <v>-78.15046296296305</v>
      </c>
      <c r="AD65" s="23"/>
      <c r="AE65" s="4">
        <f t="shared" si="48"/>
        <v>157.90046296296305</v>
      </c>
      <c r="AF65" s="17">
        <f t="shared" si="54"/>
        <v>153.8537433333334</v>
      </c>
      <c r="AG65" s="71">
        <f t="shared" si="49"/>
        <v>3486.75</v>
      </c>
      <c r="AH65" s="71">
        <f t="shared" si="50"/>
        <v>2430.5185185185187</v>
      </c>
      <c r="AI65" s="71">
        <f t="shared" si="53"/>
        <v>1056.2314814814813</v>
      </c>
    </row>
    <row r="66" spans="1:35" ht="12.75" customHeight="1">
      <c r="A66" s="26">
        <v>32112</v>
      </c>
      <c r="B66" s="52">
        <f t="shared" si="27"/>
        <v>2979.25</v>
      </c>
      <c r="C66" s="65"/>
      <c r="D66" s="88">
        <f>(D65+D67)/2</f>
        <v>2957</v>
      </c>
      <c r="E66" s="48">
        <v>2662</v>
      </c>
      <c r="F66" s="45">
        <f t="shared" si="28"/>
        <v>2147</v>
      </c>
      <c r="G66" s="45">
        <f t="shared" si="29"/>
        <v>2494</v>
      </c>
      <c r="H66" s="45">
        <f t="shared" si="30"/>
        <v>2316</v>
      </c>
      <c r="I66" s="45">
        <f t="shared" si="31"/>
        <v>2997</v>
      </c>
      <c r="J66" s="45">
        <f t="shared" si="32"/>
        <v>3318</v>
      </c>
      <c r="K66" s="45">
        <f t="shared" si="33"/>
        <v>2563</v>
      </c>
      <c r="L66" s="45">
        <f t="shared" si="34"/>
        <v>3798</v>
      </c>
      <c r="M66" s="45">
        <f t="shared" si="35"/>
        <v>3582</v>
      </c>
      <c r="N66" s="45">
        <f t="shared" si="36"/>
        <v>3482</v>
      </c>
      <c r="O66" s="69">
        <f t="shared" si="51"/>
        <v>3435</v>
      </c>
      <c r="P66" s="60">
        <v>32112</v>
      </c>
      <c r="Q66" s="13"/>
      <c r="R66" s="15">
        <f t="shared" si="37"/>
        <v>455.75</v>
      </c>
      <c r="S66" s="13">
        <f t="shared" si="38"/>
        <v>502.75</v>
      </c>
      <c r="T66" s="13">
        <f t="shared" si="39"/>
        <v>602.75</v>
      </c>
      <c r="U66" s="13">
        <f t="shared" si="40"/>
        <v>818.75</v>
      </c>
      <c r="V66" s="13">
        <f t="shared" si="41"/>
        <v>-416.25</v>
      </c>
      <c r="W66" s="13">
        <f t="shared" si="42"/>
        <v>338.75</v>
      </c>
      <c r="X66" s="13">
        <f t="shared" si="43"/>
        <v>17.75</v>
      </c>
      <c r="Y66" s="4">
        <f t="shared" si="44"/>
        <v>-663.25</v>
      </c>
      <c r="Z66" s="4">
        <f t="shared" si="45"/>
        <v>-485.25</v>
      </c>
      <c r="AA66" s="4">
        <f t="shared" si="46"/>
        <v>-832.25</v>
      </c>
      <c r="AB66" s="4">
        <f t="shared" si="47"/>
        <v>-317.25</v>
      </c>
      <c r="AC66" s="4">
        <f t="shared" si="52"/>
        <v>-22.25</v>
      </c>
      <c r="AD66" s="17"/>
      <c r="AE66" s="13">
        <f t="shared" si="48"/>
        <v>140.875</v>
      </c>
      <c r="AF66" s="12">
        <f t="shared" si="54"/>
        <v>128.98055555555555</v>
      </c>
      <c r="AG66" s="74">
        <f t="shared" si="49"/>
        <v>3310.714285714286</v>
      </c>
      <c r="AH66" s="74">
        <f t="shared" si="50"/>
        <v>2319</v>
      </c>
      <c r="AI66" s="74">
        <f t="shared" si="53"/>
        <v>991.7142857142858</v>
      </c>
    </row>
    <row r="67" spans="1:35" ht="12.75" customHeight="1">
      <c r="A67" s="22">
        <v>32082</v>
      </c>
      <c r="B67" s="52">
        <f t="shared" si="27"/>
        <v>2838.375</v>
      </c>
      <c r="C67" s="65"/>
      <c r="D67" s="21">
        <f>2761+90+4</f>
        <v>2855</v>
      </c>
      <c r="E67" s="39">
        <f>E69+2*(E66-E69)/3</f>
        <v>2574</v>
      </c>
      <c r="F67" s="45">
        <f t="shared" si="28"/>
        <v>2074</v>
      </c>
      <c r="G67" s="45">
        <f t="shared" si="29"/>
        <v>2354</v>
      </c>
      <c r="H67" s="45">
        <f t="shared" si="30"/>
        <v>2206</v>
      </c>
      <c r="I67" s="45">
        <f t="shared" si="31"/>
        <v>2775</v>
      </c>
      <c r="J67" s="45">
        <f t="shared" si="32"/>
        <v>3163</v>
      </c>
      <c r="K67" s="45">
        <f t="shared" si="33"/>
        <v>2463.5</v>
      </c>
      <c r="L67" s="45">
        <f t="shared" si="34"/>
        <v>3585</v>
      </c>
      <c r="M67" s="45">
        <f t="shared" si="35"/>
        <v>3489</v>
      </c>
      <c r="N67" s="45">
        <f t="shared" si="36"/>
        <v>3177</v>
      </c>
      <c r="O67" s="69">
        <f t="shared" si="51"/>
        <v>3345</v>
      </c>
      <c r="P67" s="59">
        <v>32082</v>
      </c>
      <c r="Q67" s="4"/>
      <c r="R67" s="19">
        <f t="shared" si="37"/>
        <v>506.625</v>
      </c>
      <c r="S67" s="4">
        <f t="shared" si="38"/>
        <v>338.625</v>
      </c>
      <c r="T67" s="4">
        <f t="shared" si="39"/>
        <v>650.625</v>
      </c>
      <c r="U67" s="4">
        <f t="shared" si="40"/>
        <v>746.625</v>
      </c>
      <c r="V67" s="4">
        <f t="shared" si="41"/>
        <v>-374.875</v>
      </c>
      <c r="W67" s="4">
        <f t="shared" si="42"/>
        <v>324.625</v>
      </c>
      <c r="X67" s="4">
        <f t="shared" si="43"/>
        <v>-63.375</v>
      </c>
      <c r="Y67" s="4">
        <f t="shared" si="44"/>
        <v>-632.375</v>
      </c>
      <c r="Z67" s="4">
        <f t="shared" si="45"/>
        <v>-484.375</v>
      </c>
      <c r="AA67" s="4">
        <f t="shared" si="46"/>
        <v>-764.375</v>
      </c>
      <c r="AB67" s="4">
        <f t="shared" si="47"/>
        <v>-264.375</v>
      </c>
      <c r="AC67" s="4">
        <f t="shared" si="52"/>
        <v>16.625</v>
      </c>
      <c r="AD67" s="17"/>
      <c r="AE67" s="4">
        <f t="shared" si="48"/>
        <v>134.45833333333348</v>
      </c>
      <c r="AF67" s="17">
        <f>(AE65+AE66+AE67+AE68)/4</f>
        <v>126.91261574074076</v>
      </c>
      <c r="AG67" s="74">
        <f t="shared" si="49"/>
        <v>3142.5</v>
      </c>
      <c r="AH67" s="74">
        <f t="shared" si="50"/>
        <v>2211.3333333333335</v>
      </c>
      <c r="AI67" s="74">
        <f t="shared" si="53"/>
        <v>931.1666666666665</v>
      </c>
    </row>
    <row r="68" spans="1:35" ht="12.75" customHeight="1">
      <c r="A68" s="22">
        <v>32051</v>
      </c>
      <c r="B68" s="52">
        <f t="shared" si="27"/>
        <v>2703.9166666666665</v>
      </c>
      <c r="C68" s="65"/>
      <c r="D68" s="45">
        <f>2723+90+4</f>
        <v>2817</v>
      </c>
      <c r="E68" s="39">
        <f>E70+1*(E66-E69)/3</f>
        <v>2375</v>
      </c>
      <c r="F68" s="45">
        <f t="shared" si="28"/>
        <v>1977</v>
      </c>
      <c r="G68" s="45">
        <f t="shared" si="29"/>
        <v>2124</v>
      </c>
      <c r="H68" s="45">
        <f t="shared" si="30"/>
        <v>2096</v>
      </c>
      <c r="I68" s="45">
        <f t="shared" si="31"/>
        <v>2665</v>
      </c>
      <c r="J68" s="45">
        <f t="shared" si="32"/>
        <v>3013</v>
      </c>
      <c r="K68" s="45">
        <f t="shared" si="33"/>
        <v>2364</v>
      </c>
      <c r="L68" s="45">
        <f t="shared" si="34"/>
        <v>3493</v>
      </c>
      <c r="M68" s="45">
        <f t="shared" si="35"/>
        <v>3434</v>
      </c>
      <c r="N68" s="45">
        <f t="shared" si="36"/>
        <v>2834</v>
      </c>
      <c r="O68" s="69">
        <f t="shared" si="51"/>
        <v>3255</v>
      </c>
      <c r="P68" s="59">
        <v>32051</v>
      </c>
      <c r="Q68" s="4"/>
      <c r="R68" s="19">
        <f t="shared" si="37"/>
        <v>551.0833333333335</v>
      </c>
      <c r="S68" s="4">
        <f t="shared" si="38"/>
        <v>130.08333333333348</v>
      </c>
      <c r="T68" s="4">
        <f t="shared" si="39"/>
        <v>730.0833333333335</v>
      </c>
      <c r="U68" s="4">
        <f t="shared" si="40"/>
        <v>789.0833333333335</v>
      </c>
      <c r="V68" s="4">
        <f t="shared" si="41"/>
        <v>-339.9166666666665</v>
      </c>
      <c r="W68" s="4">
        <f t="shared" si="42"/>
        <v>309.0833333333335</v>
      </c>
      <c r="X68" s="4">
        <f t="shared" si="43"/>
        <v>-38.916666666666515</v>
      </c>
      <c r="Y68" s="4">
        <f t="shared" si="44"/>
        <v>-607.9166666666665</v>
      </c>
      <c r="Z68" s="4">
        <f t="shared" si="45"/>
        <v>-579.9166666666665</v>
      </c>
      <c r="AA68" s="4">
        <f t="shared" si="46"/>
        <v>-726.9166666666665</v>
      </c>
      <c r="AB68" s="4">
        <f t="shared" si="47"/>
        <v>-328.9166666666665</v>
      </c>
      <c r="AC68" s="4">
        <f t="shared" si="52"/>
        <v>113.08333333333348</v>
      </c>
      <c r="AD68" s="17"/>
      <c r="AE68" s="4">
        <f t="shared" si="48"/>
        <v>74.41666666666652</v>
      </c>
      <c r="AF68" s="17">
        <f>(AE66+AE67+AE68)/3</f>
        <v>116.58333333333333</v>
      </c>
      <c r="AG68" s="74">
        <f t="shared" si="49"/>
        <v>3008.285714285714</v>
      </c>
      <c r="AH68" s="74">
        <f t="shared" si="50"/>
        <v>2065.6666666666665</v>
      </c>
      <c r="AI68" s="74">
        <f t="shared" si="53"/>
        <v>942.6190476190477</v>
      </c>
    </row>
    <row r="69" spans="1:35" ht="12.75" customHeight="1">
      <c r="A69" s="22">
        <v>32021</v>
      </c>
      <c r="B69" s="52">
        <f>AVERAGE(D69:O69)</f>
        <v>2629.5</v>
      </c>
      <c r="C69" s="91">
        <v>2460</v>
      </c>
      <c r="D69" s="21">
        <f>2692+87+4</f>
        <v>2783</v>
      </c>
      <c r="E69" s="45">
        <v>2398</v>
      </c>
      <c r="F69" s="45">
        <f t="shared" si="28"/>
        <v>1894</v>
      </c>
      <c r="G69" s="45">
        <f t="shared" si="29"/>
        <v>1994</v>
      </c>
      <c r="H69" s="45">
        <f t="shared" si="30"/>
        <v>1986</v>
      </c>
      <c r="I69" s="45">
        <f t="shared" si="31"/>
        <v>2584</v>
      </c>
      <c r="J69" s="45">
        <f t="shared" si="32"/>
        <v>2963</v>
      </c>
      <c r="K69" s="45">
        <f t="shared" si="33"/>
        <v>2322</v>
      </c>
      <c r="L69" s="45">
        <f t="shared" si="34"/>
        <v>3335</v>
      </c>
      <c r="M69" s="45">
        <f t="shared" si="35"/>
        <v>3374</v>
      </c>
      <c r="N69" s="45">
        <f t="shared" si="36"/>
        <v>2786</v>
      </c>
      <c r="O69" s="69">
        <f t="shared" si="51"/>
        <v>3135</v>
      </c>
      <c r="P69" s="59">
        <v>32021</v>
      </c>
      <c r="Q69" s="4"/>
      <c r="R69" s="19">
        <f t="shared" si="37"/>
        <v>505.5</v>
      </c>
      <c r="S69" s="4">
        <f t="shared" si="38"/>
        <v>156.5</v>
      </c>
      <c r="T69" s="4">
        <f t="shared" si="39"/>
        <v>744.5</v>
      </c>
      <c r="U69" s="4">
        <f t="shared" si="40"/>
        <v>705.5</v>
      </c>
      <c r="V69" s="4">
        <f t="shared" si="41"/>
        <v>-307.5</v>
      </c>
      <c r="W69" s="4">
        <f t="shared" si="42"/>
        <v>333.5</v>
      </c>
      <c r="X69" s="4">
        <f t="shared" si="43"/>
        <v>-45.5</v>
      </c>
      <c r="Y69" s="4">
        <f t="shared" si="44"/>
        <v>-643.5</v>
      </c>
      <c r="Z69" s="4">
        <f t="shared" si="45"/>
        <v>-635.5</v>
      </c>
      <c r="AA69" s="4">
        <f t="shared" si="46"/>
        <v>-735.5</v>
      </c>
      <c r="AB69" s="4">
        <f aca="true" t="shared" si="55" ref="AB69:AB75">$E69-$B69</f>
        <v>-231.5</v>
      </c>
      <c r="AC69" s="4">
        <f t="shared" si="52"/>
        <v>153.5</v>
      </c>
      <c r="AD69" s="17">
        <f>C69-B69</f>
        <v>-169.5</v>
      </c>
      <c r="AE69" s="4">
        <f t="shared" si="48"/>
        <v>323.25</v>
      </c>
      <c r="AF69" s="17">
        <f>AE69</f>
        <v>323.25</v>
      </c>
      <c r="AG69" s="74">
        <f t="shared" si="49"/>
        <v>2928.4285714285716</v>
      </c>
      <c r="AH69" s="74">
        <f t="shared" si="50"/>
        <v>1958</v>
      </c>
      <c r="AI69" s="74">
        <f t="shared" si="53"/>
        <v>970.4285714285716</v>
      </c>
    </row>
    <row r="70" spans="1:35" ht="12.75" customHeight="1">
      <c r="A70" s="22">
        <v>31990</v>
      </c>
      <c r="B70" s="52">
        <f t="shared" si="27"/>
        <v>2306.25</v>
      </c>
      <c r="C70" s="91">
        <v>2367</v>
      </c>
      <c r="D70" s="21">
        <f>2319+74+4</f>
        <v>2397</v>
      </c>
      <c r="E70" s="75">
        <f>(E69+E71)/2</f>
        <v>2287</v>
      </c>
      <c r="F70" s="45">
        <f t="shared" si="28"/>
        <v>1574</v>
      </c>
      <c r="G70" s="45">
        <f t="shared" si="29"/>
        <v>1963</v>
      </c>
      <c r="H70" s="45">
        <f t="shared" si="30"/>
        <v>1876</v>
      </c>
      <c r="I70" s="45">
        <f t="shared" si="31"/>
        <v>2433</v>
      </c>
      <c r="J70" s="45">
        <f t="shared" si="32"/>
        <v>2617</v>
      </c>
      <c r="K70" s="45">
        <f t="shared" si="33"/>
        <v>1848</v>
      </c>
      <c r="L70" s="45">
        <f t="shared" si="34"/>
        <v>2757</v>
      </c>
      <c r="M70" s="45">
        <f t="shared" si="35"/>
        <v>2746</v>
      </c>
      <c r="N70" s="45">
        <f t="shared" si="36"/>
        <v>2682</v>
      </c>
      <c r="O70" s="69">
        <f t="shared" si="51"/>
        <v>2495</v>
      </c>
      <c r="P70" s="59">
        <v>31990</v>
      </c>
      <c r="Q70" s="4"/>
      <c r="R70" s="19">
        <f t="shared" si="37"/>
        <v>188.75</v>
      </c>
      <c r="S70" s="4">
        <f t="shared" si="38"/>
        <v>375.75</v>
      </c>
      <c r="T70" s="4">
        <f t="shared" si="39"/>
        <v>439.75</v>
      </c>
      <c r="U70" s="4">
        <f t="shared" si="40"/>
        <v>450.75</v>
      </c>
      <c r="V70" s="4">
        <f t="shared" si="41"/>
        <v>-458.25</v>
      </c>
      <c r="W70" s="4">
        <f t="shared" si="42"/>
        <v>310.75</v>
      </c>
      <c r="X70" s="4">
        <f t="shared" si="43"/>
        <v>126.75</v>
      </c>
      <c r="Y70" s="4">
        <f t="shared" si="44"/>
        <v>-430.25</v>
      </c>
      <c r="Z70" s="4">
        <f t="shared" si="45"/>
        <v>-343.25</v>
      </c>
      <c r="AA70" s="4">
        <f t="shared" si="46"/>
        <v>-732.25</v>
      </c>
      <c r="AB70" s="4">
        <f t="shared" si="55"/>
        <v>-19.25</v>
      </c>
      <c r="AC70" s="4">
        <f aca="true" t="shared" si="56" ref="AC70:AC94">$D70-$B70</f>
        <v>90.75</v>
      </c>
      <c r="AD70" s="17">
        <f>C70-B70</f>
        <v>60.75</v>
      </c>
      <c r="AE70" s="4">
        <f t="shared" si="48"/>
        <v>52.416666666666515</v>
      </c>
      <c r="AF70" s="17">
        <f>(AE70+AE71+AE72)/3</f>
        <v>65.34490740740739</v>
      </c>
      <c r="AG70" s="74">
        <f t="shared" si="49"/>
        <v>2511.1428571428573</v>
      </c>
      <c r="AH70" s="74">
        <f t="shared" si="50"/>
        <v>1804.3333333333333</v>
      </c>
      <c r="AI70" s="74">
        <f t="shared" si="53"/>
        <v>706.8095238095241</v>
      </c>
    </row>
    <row r="71" spans="1:35" ht="12.75" customHeight="1">
      <c r="A71" s="22">
        <v>31959</v>
      </c>
      <c r="B71" s="52">
        <f t="shared" si="27"/>
        <v>2253.8333333333335</v>
      </c>
      <c r="C71" s="91">
        <v>2145</v>
      </c>
      <c r="D71" s="21">
        <v>2365</v>
      </c>
      <c r="E71" s="45">
        <v>2176</v>
      </c>
      <c r="F71" s="45">
        <f t="shared" si="28"/>
        <v>1529</v>
      </c>
      <c r="G71" s="45">
        <f t="shared" si="29"/>
        <v>1932</v>
      </c>
      <c r="H71" s="45">
        <f t="shared" si="30"/>
        <v>1766</v>
      </c>
      <c r="I71" s="45">
        <f t="shared" si="31"/>
        <v>2402</v>
      </c>
      <c r="J71" s="45">
        <f t="shared" si="32"/>
        <v>2570.3333333333335</v>
      </c>
      <c r="K71" s="45">
        <f t="shared" si="33"/>
        <v>1808.6666666666665</v>
      </c>
      <c r="L71" s="45">
        <f t="shared" si="34"/>
        <v>2694</v>
      </c>
      <c r="M71" s="45">
        <f t="shared" si="35"/>
        <v>2721</v>
      </c>
      <c r="N71" s="45">
        <f t="shared" si="36"/>
        <v>2647</v>
      </c>
      <c r="O71" s="69">
        <f t="shared" si="51"/>
        <v>2435</v>
      </c>
      <c r="P71" s="59">
        <v>31959</v>
      </c>
      <c r="Q71" s="4"/>
      <c r="R71" s="19">
        <f t="shared" si="37"/>
        <v>181.16666666666652</v>
      </c>
      <c r="S71" s="4">
        <f t="shared" si="38"/>
        <v>393.1666666666665</v>
      </c>
      <c r="T71" s="4">
        <f t="shared" si="39"/>
        <v>467.1666666666665</v>
      </c>
      <c r="U71" s="4">
        <f t="shared" si="40"/>
        <v>440.1666666666665</v>
      </c>
      <c r="V71" s="4">
        <f t="shared" si="41"/>
        <v>-445.16666666666697</v>
      </c>
      <c r="W71" s="4">
        <f t="shared" si="42"/>
        <v>316.5</v>
      </c>
      <c r="X71" s="4">
        <f t="shared" si="43"/>
        <v>148.16666666666652</v>
      </c>
      <c r="Y71" s="4">
        <f t="shared" si="44"/>
        <v>-487.8333333333335</v>
      </c>
      <c r="Z71" s="4">
        <f t="shared" si="45"/>
        <v>-321.8333333333335</v>
      </c>
      <c r="AA71" s="4">
        <f t="shared" si="46"/>
        <v>-724.8333333333335</v>
      </c>
      <c r="AB71" s="4">
        <f t="shared" si="55"/>
        <v>-77.83333333333348</v>
      </c>
      <c r="AC71" s="4">
        <f t="shared" si="56"/>
        <v>111.16666666666652</v>
      </c>
      <c r="AD71" s="17">
        <f>C71-B71</f>
        <v>-108.83333333333348</v>
      </c>
      <c r="AE71" s="4">
        <f t="shared" si="48"/>
        <v>79.125</v>
      </c>
      <c r="AF71" s="17">
        <f>(AE70+AE71+AE72+AE73)/4</f>
        <v>60.99305555555554</v>
      </c>
      <c r="AG71" s="74">
        <f t="shared" si="49"/>
        <v>2468.285714285714</v>
      </c>
      <c r="AH71" s="74">
        <f t="shared" si="50"/>
        <v>1742.3333333333333</v>
      </c>
      <c r="AI71" s="74">
        <f t="shared" si="53"/>
        <v>725.952380952381</v>
      </c>
    </row>
    <row r="72" spans="1:35" ht="12.75" customHeight="1">
      <c r="A72" s="22">
        <v>31929</v>
      </c>
      <c r="B72" s="52">
        <f t="shared" si="27"/>
        <v>2174.7083333333335</v>
      </c>
      <c r="C72" s="91">
        <v>2093</v>
      </c>
      <c r="D72" s="21">
        <v>2357</v>
      </c>
      <c r="E72" s="45">
        <v>2105</v>
      </c>
      <c r="F72" s="45">
        <f t="shared" si="28"/>
        <v>1603</v>
      </c>
      <c r="G72" s="45">
        <f t="shared" si="29"/>
        <v>1901</v>
      </c>
      <c r="H72" s="45">
        <f t="shared" si="30"/>
        <v>1656</v>
      </c>
      <c r="I72" s="45">
        <f t="shared" si="31"/>
        <v>2139</v>
      </c>
      <c r="J72" s="45">
        <f t="shared" si="32"/>
        <v>2523.6666666666665</v>
      </c>
      <c r="K72" s="45">
        <f t="shared" si="33"/>
        <v>1769.3333333333335</v>
      </c>
      <c r="L72" s="45">
        <f t="shared" si="34"/>
        <v>2642</v>
      </c>
      <c r="M72" s="45">
        <f t="shared" si="35"/>
        <v>2676.5</v>
      </c>
      <c r="N72" s="45">
        <f t="shared" si="36"/>
        <v>2409</v>
      </c>
      <c r="O72" s="69">
        <f t="shared" si="51"/>
        <v>2315</v>
      </c>
      <c r="P72" s="59">
        <v>31929</v>
      </c>
      <c r="Q72" s="4"/>
      <c r="R72" s="19">
        <f t="shared" si="37"/>
        <v>140.29166666666652</v>
      </c>
      <c r="S72" s="4">
        <f t="shared" si="38"/>
        <v>234.29166666666652</v>
      </c>
      <c r="T72" s="4">
        <f t="shared" si="39"/>
        <v>501.7916666666665</v>
      </c>
      <c r="U72" s="4">
        <f t="shared" si="40"/>
        <v>467.2916666666665</v>
      </c>
      <c r="V72" s="4">
        <f t="shared" si="41"/>
        <v>-405.375</v>
      </c>
      <c r="W72" s="4">
        <f t="shared" si="42"/>
        <v>348.95833333333303</v>
      </c>
      <c r="X72" s="4">
        <f t="shared" si="43"/>
        <v>-35.708333333333485</v>
      </c>
      <c r="Y72" s="4">
        <f t="shared" si="44"/>
        <v>-518.7083333333335</v>
      </c>
      <c r="Z72" s="4">
        <f t="shared" si="45"/>
        <v>-273.7083333333335</v>
      </c>
      <c r="AA72" s="4">
        <f t="shared" si="46"/>
        <v>-571.7083333333335</v>
      </c>
      <c r="AB72" s="4">
        <f t="shared" si="55"/>
        <v>-69.70833333333348</v>
      </c>
      <c r="AC72" s="4">
        <f t="shared" si="56"/>
        <v>182.29166666666652</v>
      </c>
      <c r="AD72" s="17">
        <f>C72-B72</f>
        <v>-81.70833333333348</v>
      </c>
      <c r="AE72" s="4">
        <f t="shared" si="48"/>
        <v>64.49305555555566</v>
      </c>
      <c r="AF72" s="17">
        <f aca="true" t="shared" si="57" ref="AF72:AF91">(AE70+AE71+AE72+AE73+AE74)/5</f>
        <v>56.66527777777778</v>
      </c>
      <c r="AG72" s="74">
        <f t="shared" si="49"/>
        <v>2353.5</v>
      </c>
      <c r="AH72" s="74">
        <f t="shared" si="50"/>
        <v>1720</v>
      </c>
      <c r="AI72" s="74">
        <f t="shared" si="53"/>
        <v>633.5</v>
      </c>
    </row>
    <row r="73" spans="1:35" ht="12.75" customHeight="1">
      <c r="A73" s="22">
        <v>31898</v>
      </c>
      <c r="B73" s="52">
        <f t="shared" si="27"/>
        <v>2110.215277777778</v>
      </c>
      <c r="C73" s="91">
        <v>2033</v>
      </c>
      <c r="D73" s="21">
        <f>2266+74+4+2+1</f>
        <v>2347</v>
      </c>
      <c r="E73" s="45">
        <v>2017</v>
      </c>
      <c r="F73" s="45">
        <f t="shared" si="28"/>
        <v>1491</v>
      </c>
      <c r="G73" s="45">
        <f t="shared" si="29"/>
        <v>1886</v>
      </c>
      <c r="H73" s="45">
        <f t="shared" si="30"/>
        <v>1616.5833333333335</v>
      </c>
      <c r="I73" s="45">
        <f t="shared" si="31"/>
        <v>1934</v>
      </c>
      <c r="J73" s="45">
        <f t="shared" si="32"/>
        <v>2477</v>
      </c>
      <c r="K73" s="45">
        <f t="shared" si="33"/>
        <v>1730</v>
      </c>
      <c r="L73" s="45">
        <f t="shared" si="34"/>
        <v>2612</v>
      </c>
      <c r="M73" s="45">
        <f t="shared" si="35"/>
        <v>2632</v>
      </c>
      <c r="N73" s="45">
        <f t="shared" si="36"/>
        <v>2295</v>
      </c>
      <c r="O73" s="69">
        <f t="shared" si="51"/>
        <v>2285</v>
      </c>
      <c r="P73" s="59">
        <v>31898</v>
      </c>
      <c r="Q73" s="4"/>
      <c r="R73" s="19">
        <f t="shared" si="37"/>
        <v>174.78472222222217</v>
      </c>
      <c r="S73" s="4">
        <f t="shared" si="38"/>
        <v>184.78472222222217</v>
      </c>
      <c r="T73" s="4">
        <f t="shared" si="39"/>
        <v>521.7847222222222</v>
      </c>
      <c r="U73" s="4">
        <f t="shared" si="40"/>
        <v>501.7847222222222</v>
      </c>
      <c r="V73" s="4">
        <f t="shared" si="41"/>
        <v>-380.2152777777778</v>
      </c>
      <c r="W73" s="4">
        <f t="shared" si="42"/>
        <v>366.7847222222222</v>
      </c>
      <c r="X73" s="4">
        <f t="shared" si="43"/>
        <v>-176.21527777777783</v>
      </c>
      <c r="Y73" s="4">
        <f t="shared" si="44"/>
        <v>-493.63194444444434</v>
      </c>
      <c r="Z73" s="4">
        <f t="shared" si="45"/>
        <v>-224.21527777777783</v>
      </c>
      <c r="AA73" s="4">
        <f t="shared" si="46"/>
        <v>-619.2152777777778</v>
      </c>
      <c r="AB73" s="4">
        <f t="shared" si="55"/>
        <v>-93.21527777777783</v>
      </c>
      <c r="AC73" s="4">
        <f t="shared" si="56"/>
        <v>236.78472222222217</v>
      </c>
      <c r="AD73" s="17">
        <f>C73-B73</f>
        <v>-77.21527777777783</v>
      </c>
      <c r="AE73" s="4">
        <f t="shared" si="48"/>
        <v>47.9375</v>
      </c>
      <c r="AF73" s="17">
        <f t="shared" si="57"/>
        <v>52.56527777777778</v>
      </c>
      <c r="AG73" s="74">
        <f t="shared" si="49"/>
        <v>2280.714285714286</v>
      </c>
      <c r="AH73" s="74">
        <f t="shared" si="50"/>
        <v>1664.527777777778</v>
      </c>
      <c r="AI73" s="74">
        <f t="shared" si="53"/>
        <v>616.1865079365077</v>
      </c>
    </row>
    <row r="74" spans="1:35" ht="12.75" customHeight="1">
      <c r="A74" s="22">
        <v>31868</v>
      </c>
      <c r="B74" s="52">
        <f t="shared" si="27"/>
        <v>2062.277777777778</v>
      </c>
      <c r="C74" s="65">
        <v>1993</v>
      </c>
      <c r="D74" s="21">
        <f>2263+74+4+2+1</f>
        <v>2344</v>
      </c>
      <c r="E74" s="45">
        <v>1966</v>
      </c>
      <c r="F74" s="45">
        <f t="shared" si="28"/>
        <v>1459</v>
      </c>
      <c r="G74" s="45">
        <f t="shared" si="29"/>
        <v>1866</v>
      </c>
      <c r="H74" s="45">
        <f t="shared" si="30"/>
        <v>1577.1666666666665</v>
      </c>
      <c r="I74" s="45">
        <f t="shared" si="31"/>
        <v>1835</v>
      </c>
      <c r="J74" s="45">
        <f t="shared" si="32"/>
        <v>2430.3333333333335</v>
      </c>
      <c r="K74" s="45">
        <f t="shared" si="33"/>
        <v>1702.3333333333335</v>
      </c>
      <c r="L74" s="45">
        <f t="shared" si="34"/>
        <v>2546</v>
      </c>
      <c r="M74" s="45">
        <f t="shared" si="35"/>
        <v>2529.5</v>
      </c>
      <c r="N74" s="45">
        <f t="shared" si="36"/>
        <v>2237</v>
      </c>
      <c r="O74" s="69">
        <f t="shared" si="51"/>
        <v>2255</v>
      </c>
      <c r="P74" s="59">
        <v>31868</v>
      </c>
      <c r="Q74" s="4"/>
      <c r="R74" s="19">
        <f t="shared" si="37"/>
        <v>192.72222222222217</v>
      </c>
      <c r="S74" s="4">
        <f t="shared" si="38"/>
        <v>174.72222222222217</v>
      </c>
      <c r="T74" s="4">
        <f t="shared" si="39"/>
        <v>467.2222222222222</v>
      </c>
      <c r="U74" s="4">
        <f t="shared" si="40"/>
        <v>483.7222222222222</v>
      </c>
      <c r="V74" s="4">
        <f t="shared" si="41"/>
        <v>-359.94444444444434</v>
      </c>
      <c r="W74" s="4">
        <f t="shared" si="42"/>
        <v>368.05555555555566</v>
      </c>
      <c r="X74" s="4">
        <f t="shared" si="43"/>
        <v>-227.27777777777783</v>
      </c>
      <c r="Y74" s="4">
        <f t="shared" si="44"/>
        <v>-485.1111111111113</v>
      </c>
      <c r="Z74" s="4">
        <f t="shared" si="45"/>
        <v>-196.27777777777783</v>
      </c>
      <c r="AA74" s="4">
        <f t="shared" si="46"/>
        <v>-603.2777777777778</v>
      </c>
      <c r="AB74" s="4">
        <f t="shared" si="55"/>
        <v>-96.27777777777783</v>
      </c>
      <c r="AC74" s="4">
        <f t="shared" si="56"/>
        <v>281.7222222222222</v>
      </c>
      <c r="AD74" s="17">
        <f aca="true" t="shared" si="58" ref="AD74:AD84">C74-B74</f>
        <v>-69.27777777777783</v>
      </c>
      <c r="AE74" s="4">
        <f t="shared" si="48"/>
        <v>39.35416666666674</v>
      </c>
      <c r="AF74" s="17">
        <f t="shared" si="57"/>
        <v>43.1291666666667</v>
      </c>
      <c r="AG74" s="74">
        <f t="shared" si="49"/>
        <v>2219.309523809524</v>
      </c>
      <c r="AH74" s="74">
        <f t="shared" si="50"/>
        <v>1634.0555555555554</v>
      </c>
      <c r="AI74" s="74">
        <f t="shared" si="53"/>
        <v>585.2539682539684</v>
      </c>
    </row>
    <row r="75" spans="1:35" ht="12.75" customHeight="1">
      <c r="A75" s="22">
        <v>31837</v>
      </c>
      <c r="B75" s="52">
        <f t="shared" si="27"/>
        <v>2022.923611111111</v>
      </c>
      <c r="C75" s="65">
        <v>1920</v>
      </c>
      <c r="D75" s="21">
        <f>2253+74+4+2+1</f>
        <v>2334</v>
      </c>
      <c r="E75" s="45">
        <v>1935</v>
      </c>
      <c r="F75" s="45">
        <f t="shared" si="28"/>
        <v>1414</v>
      </c>
      <c r="G75" s="45">
        <f t="shared" si="29"/>
        <v>1846</v>
      </c>
      <c r="H75" s="45">
        <f t="shared" si="30"/>
        <v>1537.75</v>
      </c>
      <c r="I75" s="45">
        <f t="shared" si="31"/>
        <v>1796</v>
      </c>
      <c r="J75" s="45">
        <f t="shared" si="32"/>
        <v>2383.6666666666665</v>
      </c>
      <c r="K75" s="45">
        <f t="shared" si="33"/>
        <v>1674.6666666666665</v>
      </c>
      <c r="L75" s="45">
        <f t="shared" si="34"/>
        <v>2480</v>
      </c>
      <c r="M75" s="45">
        <f t="shared" si="35"/>
        <v>2427</v>
      </c>
      <c r="N75" s="45">
        <f t="shared" si="36"/>
        <v>2212</v>
      </c>
      <c r="O75" s="69">
        <f t="shared" si="51"/>
        <v>2235</v>
      </c>
      <c r="P75" s="59">
        <v>31837</v>
      </c>
      <c r="Q75" s="4"/>
      <c r="R75" s="19">
        <f t="shared" si="37"/>
        <v>212.0763888888889</v>
      </c>
      <c r="S75" s="4">
        <f t="shared" si="38"/>
        <v>189.0763888888889</v>
      </c>
      <c r="T75" s="4">
        <f t="shared" si="39"/>
        <v>404.0763888888889</v>
      </c>
      <c r="U75" s="4">
        <f t="shared" si="40"/>
        <v>457.0763888888889</v>
      </c>
      <c r="V75" s="4">
        <f t="shared" si="41"/>
        <v>-348.25694444444457</v>
      </c>
      <c r="W75" s="4">
        <f t="shared" si="42"/>
        <v>360.74305555555543</v>
      </c>
      <c r="X75" s="4">
        <f t="shared" si="43"/>
        <v>-226.9236111111111</v>
      </c>
      <c r="Y75" s="4">
        <f t="shared" si="44"/>
        <v>-485.1736111111111</v>
      </c>
      <c r="Z75" s="4">
        <f t="shared" si="45"/>
        <v>-176.9236111111111</v>
      </c>
      <c r="AA75" s="4">
        <f t="shared" si="46"/>
        <v>-608.9236111111111</v>
      </c>
      <c r="AB75" s="4">
        <f t="shared" si="55"/>
        <v>-87.92361111111109</v>
      </c>
      <c r="AC75" s="4">
        <f t="shared" si="56"/>
        <v>311.0763888888889</v>
      </c>
      <c r="AD75" s="17">
        <f t="shared" si="58"/>
        <v>-102.92361111111109</v>
      </c>
      <c r="AE75" s="4">
        <f t="shared" si="48"/>
        <v>31.916666666666515</v>
      </c>
      <c r="AF75" s="17">
        <f t="shared" si="57"/>
        <v>38.86111111111118</v>
      </c>
      <c r="AG75" s="74">
        <f t="shared" si="49"/>
        <v>2172.6190476190473</v>
      </c>
      <c r="AH75" s="74">
        <f t="shared" si="50"/>
        <v>1599.25</v>
      </c>
      <c r="AI75" s="74">
        <f t="shared" si="53"/>
        <v>573.3690476190473</v>
      </c>
    </row>
    <row r="76" spans="1:35" ht="12.75" customHeight="1">
      <c r="A76" s="22">
        <v>31808</v>
      </c>
      <c r="B76" s="52">
        <f t="shared" si="27"/>
        <v>1991.0069444444446</v>
      </c>
      <c r="C76" s="65">
        <v>1851</v>
      </c>
      <c r="D76" s="84">
        <v>2304</v>
      </c>
      <c r="E76" s="45">
        <v>1910</v>
      </c>
      <c r="F76" s="45">
        <f t="shared" si="28"/>
        <v>1355</v>
      </c>
      <c r="G76" s="45">
        <f t="shared" si="29"/>
        <v>1826</v>
      </c>
      <c r="H76" s="45">
        <f t="shared" si="30"/>
        <v>1498.3333333333335</v>
      </c>
      <c r="I76" s="45">
        <f t="shared" si="31"/>
        <v>1772</v>
      </c>
      <c r="J76" s="45">
        <f t="shared" si="32"/>
        <v>2337</v>
      </c>
      <c r="K76" s="45">
        <f t="shared" si="33"/>
        <v>1647</v>
      </c>
      <c r="L76" s="45">
        <f t="shared" si="34"/>
        <v>2447</v>
      </c>
      <c r="M76" s="45">
        <f t="shared" si="35"/>
        <v>2393.75</v>
      </c>
      <c r="N76" s="45">
        <f t="shared" si="36"/>
        <v>2187</v>
      </c>
      <c r="O76" s="69">
        <f t="shared" si="51"/>
        <v>2215</v>
      </c>
      <c r="P76" s="59">
        <v>31808</v>
      </c>
      <c r="Q76" s="4"/>
      <c r="R76" s="19">
        <f t="shared" si="37"/>
        <v>223.99305555555543</v>
      </c>
      <c r="S76" s="4">
        <f t="shared" si="38"/>
        <v>195.99305555555543</v>
      </c>
      <c r="T76" s="4">
        <f t="shared" si="39"/>
        <v>402.74305555555543</v>
      </c>
      <c r="U76" s="4">
        <f t="shared" si="40"/>
        <v>455.99305555555543</v>
      </c>
      <c r="V76" s="4">
        <f t="shared" si="41"/>
        <v>-344.00694444444457</v>
      </c>
      <c r="W76" s="4">
        <f t="shared" si="42"/>
        <v>345.99305555555543</v>
      </c>
      <c r="X76" s="4">
        <f t="shared" si="43"/>
        <v>-219.00694444444457</v>
      </c>
      <c r="Y76" s="4">
        <f t="shared" si="44"/>
        <v>-492.6736111111111</v>
      </c>
      <c r="Z76" s="4">
        <f t="shared" si="45"/>
        <v>-165.00694444444457</v>
      </c>
      <c r="AA76" s="4">
        <f t="shared" si="46"/>
        <v>-636.0069444444446</v>
      </c>
      <c r="AB76" s="4">
        <f aca="true" t="shared" si="59" ref="AB76:AB94">$E76-$B76</f>
        <v>-81.00694444444457</v>
      </c>
      <c r="AC76" s="4">
        <f t="shared" si="56"/>
        <v>312.99305555555543</v>
      </c>
      <c r="AD76" s="17">
        <f t="shared" si="58"/>
        <v>-140.00694444444457</v>
      </c>
      <c r="AE76" s="4">
        <f t="shared" si="48"/>
        <v>31.94444444444457</v>
      </c>
      <c r="AF76" s="17">
        <f t="shared" si="57"/>
        <v>40.43749999999996</v>
      </c>
      <c r="AG76" s="74">
        <f t="shared" si="49"/>
        <v>2142.6785714285716</v>
      </c>
      <c r="AH76" s="74">
        <f t="shared" si="50"/>
        <v>1559.777777777778</v>
      </c>
      <c r="AI76" s="74">
        <f t="shared" si="53"/>
        <v>582.9007936507935</v>
      </c>
    </row>
    <row r="77" spans="1:35" ht="12.75" customHeight="1">
      <c r="A77" s="22">
        <v>31777</v>
      </c>
      <c r="B77" s="71">
        <f t="shared" si="27"/>
        <v>1959.0625</v>
      </c>
      <c r="C77" s="54">
        <v>1845</v>
      </c>
      <c r="D77" s="84">
        <v>2218</v>
      </c>
      <c r="E77" s="47">
        <v>1857</v>
      </c>
      <c r="F77" s="47">
        <f t="shared" si="28"/>
        <v>1352</v>
      </c>
      <c r="G77" s="47">
        <f t="shared" si="29"/>
        <v>1806</v>
      </c>
      <c r="H77" s="47">
        <f t="shared" si="30"/>
        <v>1458.9166666666665</v>
      </c>
      <c r="I77" s="47">
        <f t="shared" si="31"/>
        <v>1748</v>
      </c>
      <c r="J77" s="47">
        <f t="shared" si="32"/>
        <v>2298</v>
      </c>
      <c r="K77" s="47">
        <f t="shared" si="33"/>
        <v>1619.3333333333335</v>
      </c>
      <c r="L77" s="47">
        <f t="shared" si="34"/>
        <v>2420</v>
      </c>
      <c r="M77" s="47">
        <f t="shared" si="35"/>
        <v>2360.5</v>
      </c>
      <c r="N77" s="47">
        <f t="shared" si="36"/>
        <v>2176</v>
      </c>
      <c r="O77" s="70">
        <f t="shared" si="51"/>
        <v>2195</v>
      </c>
      <c r="P77" s="59">
        <v>31777</v>
      </c>
      <c r="Q77" s="4"/>
      <c r="R77" s="19">
        <f t="shared" si="37"/>
        <v>235.9375</v>
      </c>
      <c r="S77" s="4">
        <f t="shared" si="38"/>
        <v>216.9375</v>
      </c>
      <c r="T77" s="4">
        <f t="shared" si="39"/>
        <v>401.4375</v>
      </c>
      <c r="U77" s="4">
        <f t="shared" si="40"/>
        <v>460.9375</v>
      </c>
      <c r="V77" s="4">
        <f t="shared" si="41"/>
        <v>-339.7291666666665</v>
      </c>
      <c r="W77" s="25">
        <f t="shared" si="42"/>
        <v>338.9375</v>
      </c>
      <c r="X77" s="4">
        <f t="shared" si="43"/>
        <v>-211.0625</v>
      </c>
      <c r="Y77" s="25">
        <f t="shared" si="44"/>
        <v>-500.1458333333335</v>
      </c>
      <c r="Z77" s="25">
        <f t="shared" si="45"/>
        <v>-153.0625</v>
      </c>
      <c r="AA77" s="25">
        <f t="shared" si="46"/>
        <v>-607.0625</v>
      </c>
      <c r="AB77" s="4">
        <f t="shared" si="59"/>
        <v>-102.0625</v>
      </c>
      <c r="AC77" s="25">
        <f t="shared" si="56"/>
        <v>258.9375</v>
      </c>
      <c r="AD77" s="23">
        <f t="shared" si="58"/>
        <v>-114.0625</v>
      </c>
      <c r="AE77" s="4">
        <f t="shared" si="48"/>
        <v>43.152777777778056</v>
      </c>
      <c r="AF77" s="17">
        <f t="shared" si="57"/>
        <v>38.390277777777825</v>
      </c>
      <c r="AG77" s="71">
        <f t="shared" si="49"/>
        <v>2116.690476190476</v>
      </c>
      <c r="AH77" s="71">
        <f t="shared" si="50"/>
        <v>1538.972222222222</v>
      </c>
      <c r="AI77" s="71">
        <f t="shared" si="53"/>
        <v>577.7182539682542</v>
      </c>
    </row>
    <row r="78" spans="1:35" ht="12.75" customHeight="1">
      <c r="A78" s="26">
        <v>31746</v>
      </c>
      <c r="B78" s="52">
        <f t="shared" si="27"/>
        <v>1915.909722222222</v>
      </c>
      <c r="C78" s="65">
        <v>1816</v>
      </c>
      <c r="D78" s="85">
        <f>(D77+D80)/2</f>
        <v>2203.5</v>
      </c>
      <c r="E78" s="45">
        <v>1850</v>
      </c>
      <c r="F78" s="45">
        <f t="shared" si="28"/>
        <v>1340</v>
      </c>
      <c r="G78" s="45">
        <f t="shared" si="29"/>
        <v>1786</v>
      </c>
      <c r="H78" s="45">
        <f t="shared" si="30"/>
        <v>1419.5</v>
      </c>
      <c r="I78" s="45">
        <f t="shared" si="31"/>
        <v>1724</v>
      </c>
      <c r="J78" s="45">
        <f t="shared" si="32"/>
        <v>2263</v>
      </c>
      <c r="K78" s="45">
        <f t="shared" si="33"/>
        <v>1591.6666666666665</v>
      </c>
      <c r="L78" s="45">
        <f t="shared" si="34"/>
        <v>2295</v>
      </c>
      <c r="M78" s="45">
        <f t="shared" si="35"/>
        <v>2327.25</v>
      </c>
      <c r="N78" s="45">
        <f t="shared" si="36"/>
        <v>2076</v>
      </c>
      <c r="O78" s="69">
        <f t="shared" si="51"/>
        <v>2115</v>
      </c>
      <c r="P78" s="60">
        <v>31746</v>
      </c>
      <c r="Q78" s="13"/>
      <c r="R78" s="15">
        <f t="shared" si="37"/>
        <v>199.09027777777806</v>
      </c>
      <c r="S78" s="13">
        <f t="shared" si="38"/>
        <v>160.09027777777806</v>
      </c>
      <c r="T78" s="13">
        <f t="shared" si="39"/>
        <v>411.34027777777806</v>
      </c>
      <c r="U78" s="13">
        <f t="shared" si="40"/>
        <v>379.09027777777806</v>
      </c>
      <c r="V78" s="13">
        <f t="shared" si="41"/>
        <v>-324.24305555555543</v>
      </c>
      <c r="W78" s="4">
        <f t="shared" si="42"/>
        <v>347.09027777777806</v>
      </c>
      <c r="X78" s="13">
        <f t="shared" si="43"/>
        <v>-191.90972222222194</v>
      </c>
      <c r="Y78" s="4">
        <f t="shared" si="44"/>
        <v>-496.40972222222194</v>
      </c>
      <c r="Z78" s="4">
        <f t="shared" si="45"/>
        <v>-129.90972222222194</v>
      </c>
      <c r="AA78" s="4">
        <f t="shared" si="46"/>
        <v>-575.909722222222</v>
      </c>
      <c r="AB78" s="13">
        <f t="shared" si="59"/>
        <v>-65.90972222222194</v>
      </c>
      <c r="AC78" s="4">
        <f t="shared" si="56"/>
        <v>287.59027777777806</v>
      </c>
      <c r="AD78" s="17">
        <f t="shared" si="58"/>
        <v>-99.90972222222194</v>
      </c>
      <c r="AE78" s="13">
        <f t="shared" si="48"/>
        <v>55.81944444444389</v>
      </c>
      <c r="AF78" s="12">
        <f t="shared" si="57"/>
        <v>36.863888888888916</v>
      </c>
      <c r="AG78" s="74">
        <f t="shared" si="49"/>
        <v>2055.988095238095</v>
      </c>
      <c r="AH78" s="74">
        <f t="shared" si="50"/>
        <v>1515.1666666666667</v>
      </c>
      <c r="AI78" s="74">
        <f t="shared" si="53"/>
        <v>540.8214285714282</v>
      </c>
    </row>
    <row r="79" spans="1:35" ht="12.75" customHeight="1">
      <c r="A79" s="22">
        <v>31716</v>
      </c>
      <c r="B79" s="52">
        <f t="shared" si="27"/>
        <v>1860.090277777778</v>
      </c>
      <c r="C79" s="65">
        <v>1776</v>
      </c>
      <c r="D79" s="84">
        <f>2115+68+4+2+2</f>
        <v>2191</v>
      </c>
      <c r="E79" s="45">
        <v>1795</v>
      </c>
      <c r="F79" s="45">
        <f t="shared" si="28"/>
        <v>1331</v>
      </c>
      <c r="G79" s="45">
        <f t="shared" si="29"/>
        <v>1784</v>
      </c>
      <c r="H79" s="45">
        <f t="shared" si="30"/>
        <v>1380.0833333333333</v>
      </c>
      <c r="I79" s="45">
        <f t="shared" si="31"/>
        <v>1700</v>
      </c>
      <c r="J79" s="45">
        <f t="shared" si="32"/>
        <v>2229</v>
      </c>
      <c r="K79" s="45">
        <f t="shared" si="33"/>
        <v>1564</v>
      </c>
      <c r="L79" s="45">
        <f t="shared" si="34"/>
        <v>2056</v>
      </c>
      <c r="M79" s="45">
        <f t="shared" si="35"/>
        <v>2294</v>
      </c>
      <c r="N79" s="45">
        <f t="shared" si="36"/>
        <v>1902</v>
      </c>
      <c r="O79" s="69">
        <f t="shared" si="51"/>
        <v>2095</v>
      </c>
      <c r="P79" s="59">
        <v>31716</v>
      </c>
      <c r="Q79" s="4"/>
      <c r="R79" s="19">
        <f t="shared" si="37"/>
        <v>234.90972222222194</v>
      </c>
      <c r="S79" s="4">
        <f t="shared" si="38"/>
        <v>41.909722222221944</v>
      </c>
      <c r="T79" s="4">
        <f t="shared" si="39"/>
        <v>433.90972222222194</v>
      </c>
      <c r="U79" s="4">
        <f t="shared" si="40"/>
        <v>195.90972222222194</v>
      </c>
      <c r="V79" s="4">
        <f t="shared" si="41"/>
        <v>-296.09027777777806</v>
      </c>
      <c r="W79" s="4">
        <f t="shared" si="42"/>
        <v>368.90972222222194</v>
      </c>
      <c r="X79" s="4">
        <f t="shared" si="43"/>
        <v>-160.09027777777806</v>
      </c>
      <c r="Y79" s="4">
        <f t="shared" si="44"/>
        <v>-480.0069444444448</v>
      </c>
      <c r="Z79" s="4">
        <f t="shared" si="45"/>
        <v>-76.09027777777806</v>
      </c>
      <c r="AA79" s="4">
        <f t="shared" si="46"/>
        <v>-529.090277777778</v>
      </c>
      <c r="AB79" s="4">
        <f t="shared" si="59"/>
        <v>-65.09027777777806</v>
      </c>
      <c r="AC79" s="4">
        <f t="shared" si="56"/>
        <v>330.90972222222194</v>
      </c>
      <c r="AD79" s="17">
        <f t="shared" si="58"/>
        <v>-84.09027777777806</v>
      </c>
      <c r="AE79" s="4">
        <f t="shared" si="48"/>
        <v>29.11805555555611</v>
      </c>
      <c r="AF79" s="17">
        <f t="shared" si="57"/>
        <v>61.54861111111113</v>
      </c>
      <c r="AG79" s="74">
        <f t="shared" si="49"/>
        <v>1977.142857142857</v>
      </c>
      <c r="AH79" s="74">
        <f t="shared" si="50"/>
        <v>1498.361111111111</v>
      </c>
      <c r="AI79" s="74">
        <f t="shared" si="53"/>
        <v>478.781746031746</v>
      </c>
    </row>
    <row r="80" spans="1:35" ht="12.75" customHeight="1">
      <c r="A80" s="22">
        <v>31685</v>
      </c>
      <c r="B80" s="52">
        <f t="shared" si="27"/>
        <v>1830.972222222222</v>
      </c>
      <c r="C80" s="74">
        <v>1745</v>
      </c>
      <c r="D80" s="84">
        <f>2113+68+8</f>
        <v>2189</v>
      </c>
      <c r="E80" s="45">
        <v>1763</v>
      </c>
      <c r="F80" s="45">
        <f t="shared" si="28"/>
        <v>1286</v>
      </c>
      <c r="G80" s="45">
        <f t="shared" si="29"/>
        <v>1782</v>
      </c>
      <c r="H80" s="45">
        <f t="shared" si="30"/>
        <v>1340.6666666666667</v>
      </c>
      <c r="I80" s="45">
        <f t="shared" si="31"/>
        <v>1658.6666666666667</v>
      </c>
      <c r="J80" s="45">
        <f t="shared" si="32"/>
        <v>2196</v>
      </c>
      <c r="K80" s="45">
        <f t="shared" si="33"/>
        <v>1536.3333333333335</v>
      </c>
      <c r="L80" s="45">
        <f t="shared" si="34"/>
        <v>1991</v>
      </c>
      <c r="M80" s="45">
        <f t="shared" si="35"/>
        <v>2302</v>
      </c>
      <c r="N80" s="45">
        <f t="shared" si="36"/>
        <v>1852</v>
      </c>
      <c r="O80" s="69">
        <f t="shared" si="51"/>
        <v>2075</v>
      </c>
      <c r="P80" s="59">
        <v>31685</v>
      </c>
      <c r="Q80" s="4"/>
      <c r="R80" s="19">
        <f t="shared" si="37"/>
        <v>244.02777777777806</v>
      </c>
      <c r="S80" s="4">
        <f t="shared" si="38"/>
        <v>21.027777777778056</v>
      </c>
      <c r="T80" s="4">
        <f t="shared" si="39"/>
        <v>471.02777777777806</v>
      </c>
      <c r="U80" s="4">
        <f t="shared" si="40"/>
        <v>160.02777777777806</v>
      </c>
      <c r="V80" s="4">
        <f t="shared" si="41"/>
        <v>-294.63888888888846</v>
      </c>
      <c r="W80" s="4">
        <f t="shared" si="42"/>
        <v>365.02777777777806</v>
      </c>
      <c r="X80" s="4">
        <f t="shared" si="43"/>
        <v>-172.3055555555552</v>
      </c>
      <c r="Y80" s="4">
        <f t="shared" si="44"/>
        <v>-490.3055555555552</v>
      </c>
      <c r="Z80" s="4">
        <f t="shared" si="45"/>
        <v>-48.972222222221944</v>
      </c>
      <c r="AA80" s="4">
        <f t="shared" si="46"/>
        <v>-544.972222222222</v>
      </c>
      <c r="AB80" s="4">
        <f t="shared" si="59"/>
        <v>-67.97222222222194</v>
      </c>
      <c r="AC80" s="4">
        <f t="shared" si="56"/>
        <v>358.02777777777806</v>
      </c>
      <c r="AD80" s="17">
        <f t="shared" si="58"/>
        <v>-85.97222222222194</v>
      </c>
      <c r="AE80" s="4">
        <f t="shared" si="48"/>
        <v>24.284722222221944</v>
      </c>
      <c r="AF80" s="17">
        <f t="shared" si="57"/>
        <v>62.092261904761834</v>
      </c>
      <c r="AG80" s="74">
        <f t="shared" si="49"/>
        <v>1944.4285714285713</v>
      </c>
      <c r="AH80" s="74">
        <f t="shared" si="50"/>
        <v>1469.5555555555557</v>
      </c>
      <c r="AI80" s="74">
        <f t="shared" si="53"/>
        <v>474.8730158730157</v>
      </c>
    </row>
    <row r="81" spans="1:35" ht="12.75">
      <c r="A81" s="22">
        <v>31655</v>
      </c>
      <c r="B81" s="52">
        <f t="shared" si="27"/>
        <v>1806.6875</v>
      </c>
      <c r="C81" s="74">
        <v>1545</v>
      </c>
      <c r="D81" s="84">
        <v>2177</v>
      </c>
      <c r="E81" s="45">
        <v>1749</v>
      </c>
      <c r="F81" s="45">
        <f t="shared" si="28"/>
        <v>1277</v>
      </c>
      <c r="G81" s="45">
        <f t="shared" si="29"/>
        <v>1712</v>
      </c>
      <c r="H81" s="45">
        <f t="shared" si="30"/>
        <v>1301.25</v>
      </c>
      <c r="I81" s="45">
        <f t="shared" si="31"/>
        <v>1617.3333333333333</v>
      </c>
      <c r="J81" s="45">
        <f t="shared" si="32"/>
        <v>2161</v>
      </c>
      <c r="K81" s="45">
        <f t="shared" si="33"/>
        <v>1508.6666666666665</v>
      </c>
      <c r="L81" s="45">
        <f t="shared" si="34"/>
        <v>1964</v>
      </c>
      <c r="M81" s="45">
        <f t="shared" si="35"/>
        <v>2310</v>
      </c>
      <c r="N81" s="45">
        <f t="shared" si="36"/>
        <v>1838</v>
      </c>
      <c r="O81" s="69">
        <f t="shared" si="51"/>
        <v>2065</v>
      </c>
      <c r="P81" s="59">
        <v>31655</v>
      </c>
      <c r="Q81" s="4"/>
      <c r="R81" s="19">
        <f t="shared" si="37"/>
        <v>258.3125</v>
      </c>
      <c r="S81" s="4">
        <f t="shared" si="38"/>
        <v>31.3125</v>
      </c>
      <c r="T81" s="4">
        <f t="shared" si="39"/>
        <v>503.3125</v>
      </c>
      <c r="U81" s="4">
        <f t="shared" si="40"/>
        <v>157.3125</v>
      </c>
      <c r="V81" s="4">
        <f t="shared" si="41"/>
        <v>-298.0208333333335</v>
      </c>
      <c r="W81" s="4">
        <f t="shared" si="42"/>
        <v>354.3125</v>
      </c>
      <c r="X81" s="4">
        <f t="shared" si="43"/>
        <v>-189.35416666666674</v>
      </c>
      <c r="Y81" s="4">
        <f t="shared" si="44"/>
        <v>-505.4375</v>
      </c>
      <c r="Z81" s="4">
        <f t="shared" si="45"/>
        <v>-94.6875</v>
      </c>
      <c r="AA81" s="4">
        <f t="shared" si="46"/>
        <v>-529.6875</v>
      </c>
      <c r="AB81" s="4">
        <f t="shared" si="59"/>
        <v>-57.6875</v>
      </c>
      <c r="AC81" s="4">
        <f t="shared" si="56"/>
        <v>370.3125</v>
      </c>
      <c r="AD81" s="17">
        <f t="shared" si="58"/>
        <v>-261.6875</v>
      </c>
      <c r="AE81" s="4">
        <f t="shared" si="48"/>
        <v>155.36805555555566</v>
      </c>
      <c r="AF81" s="17">
        <f t="shared" si="57"/>
        <v>59.35257936507942</v>
      </c>
      <c r="AG81" s="74">
        <f t="shared" si="49"/>
        <v>1923.4285714285713</v>
      </c>
      <c r="AH81" s="74">
        <f t="shared" si="50"/>
        <v>1430.0833333333333</v>
      </c>
      <c r="AI81" s="74">
        <f t="shared" si="53"/>
        <v>493.3452380952381</v>
      </c>
    </row>
    <row r="82" spans="1:35" ht="12.75" customHeight="1">
      <c r="A82" s="22">
        <v>31624</v>
      </c>
      <c r="B82" s="74">
        <f t="shared" si="27"/>
        <v>1651.3194444444443</v>
      </c>
      <c r="C82" s="65">
        <v>1378</v>
      </c>
      <c r="D82" s="43">
        <f>(D81+D83)/2</f>
        <v>2109</v>
      </c>
      <c r="E82" s="45">
        <v>1420</v>
      </c>
      <c r="F82" s="45">
        <f t="shared" si="28"/>
        <v>1190</v>
      </c>
      <c r="G82" s="45">
        <f t="shared" si="29"/>
        <v>1367</v>
      </c>
      <c r="H82" s="45">
        <f t="shared" si="30"/>
        <v>1261.8333333333333</v>
      </c>
      <c r="I82" s="45">
        <f t="shared" si="31"/>
        <v>1576</v>
      </c>
      <c r="J82" s="45">
        <f t="shared" si="32"/>
        <v>1952</v>
      </c>
      <c r="K82" s="45">
        <f t="shared" si="33"/>
        <v>1481</v>
      </c>
      <c r="L82" s="45">
        <f t="shared" si="34"/>
        <v>1701</v>
      </c>
      <c r="M82" s="45">
        <f t="shared" si="35"/>
        <v>2094</v>
      </c>
      <c r="N82" s="45">
        <f t="shared" si="36"/>
        <v>1679</v>
      </c>
      <c r="O82" s="69">
        <f t="shared" si="51"/>
        <v>1985</v>
      </c>
      <c r="P82" s="59">
        <v>31624</v>
      </c>
      <c r="Q82" s="4"/>
      <c r="R82" s="19">
        <f t="shared" si="37"/>
        <v>333.68055555555566</v>
      </c>
      <c r="S82" s="4">
        <f t="shared" si="38"/>
        <v>27.680555555555657</v>
      </c>
      <c r="T82" s="4">
        <f t="shared" si="39"/>
        <v>442.68055555555566</v>
      </c>
      <c r="U82" s="4">
        <f t="shared" si="40"/>
        <v>49.68055555555566</v>
      </c>
      <c r="V82" s="4">
        <f t="shared" si="41"/>
        <v>-170.31944444444434</v>
      </c>
      <c r="W82" s="4">
        <f t="shared" si="42"/>
        <v>300.68055555555566</v>
      </c>
      <c r="X82" s="4">
        <f t="shared" si="43"/>
        <v>-75.31944444444434</v>
      </c>
      <c r="Y82" s="4">
        <f t="shared" si="44"/>
        <v>-389.4861111111111</v>
      </c>
      <c r="Z82" s="4">
        <f t="shared" si="45"/>
        <v>-284.31944444444434</v>
      </c>
      <c r="AA82" s="4">
        <f t="shared" si="46"/>
        <v>-461.31944444444434</v>
      </c>
      <c r="AB82" s="4">
        <f t="shared" si="59"/>
        <v>-231.31944444444434</v>
      </c>
      <c r="AC82" s="4">
        <f t="shared" si="56"/>
        <v>457.68055555555566</v>
      </c>
      <c r="AD82" s="17">
        <f t="shared" si="58"/>
        <v>-273.31944444444434</v>
      </c>
      <c r="AE82" s="4">
        <f t="shared" si="48"/>
        <v>45.871031746031576</v>
      </c>
      <c r="AF82" s="17">
        <f t="shared" si="57"/>
        <v>59.796230158730125</v>
      </c>
      <c r="AG82" s="74">
        <f t="shared" si="49"/>
        <v>1781.142857142857</v>
      </c>
      <c r="AH82" s="74">
        <f t="shared" si="50"/>
        <v>1272.9444444444443</v>
      </c>
      <c r="AI82" s="74">
        <f t="shared" si="53"/>
        <v>508.19841269841277</v>
      </c>
    </row>
    <row r="83" spans="1:35" ht="12.75" customHeight="1">
      <c r="A83" s="22">
        <v>31593</v>
      </c>
      <c r="B83" s="52">
        <f t="shared" si="27"/>
        <v>1605.4484126984128</v>
      </c>
      <c r="C83" s="65">
        <v>1364</v>
      </c>
      <c r="D83" s="84">
        <f>1976+65</f>
        <v>2041</v>
      </c>
      <c r="E83" s="45">
        <v>1414</v>
      </c>
      <c r="F83" s="45">
        <f t="shared" si="28"/>
        <v>1166</v>
      </c>
      <c r="G83" s="45">
        <f t="shared" si="29"/>
        <v>1334</v>
      </c>
      <c r="H83" s="45">
        <f t="shared" si="30"/>
        <v>1222.4166666666667</v>
      </c>
      <c r="I83" s="45">
        <f t="shared" si="31"/>
        <v>1501.25</v>
      </c>
      <c r="J83" s="45">
        <f t="shared" si="32"/>
        <v>1880</v>
      </c>
      <c r="K83" s="45">
        <f t="shared" si="33"/>
        <v>1459.7142857142858</v>
      </c>
      <c r="L83" s="45">
        <f t="shared" si="34"/>
        <v>1662</v>
      </c>
      <c r="M83" s="45">
        <f t="shared" si="35"/>
        <v>2003</v>
      </c>
      <c r="N83" s="45">
        <f t="shared" si="36"/>
        <v>1677</v>
      </c>
      <c r="O83" s="69">
        <f t="shared" si="51"/>
        <v>1905</v>
      </c>
      <c r="P83" s="59">
        <v>31593</v>
      </c>
      <c r="Q83" s="4"/>
      <c r="R83" s="19">
        <f t="shared" si="37"/>
        <v>299.55158730158723</v>
      </c>
      <c r="S83" s="4">
        <f t="shared" si="38"/>
        <v>71.55158730158723</v>
      </c>
      <c r="T83" s="4">
        <f t="shared" si="39"/>
        <v>397.55158730158723</v>
      </c>
      <c r="U83" s="4">
        <f t="shared" si="40"/>
        <v>56.55158730158723</v>
      </c>
      <c r="V83" s="4">
        <f t="shared" si="41"/>
        <v>-145.734126984127</v>
      </c>
      <c r="W83" s="4">
        <f t="shared" si="42"/>
        <v>274.55158730158723</v>
      </c>
      <c r="X83" s="4">
        <f t="shared" si="43"/>
        <v>-104.19841269841277</v>
      </c>
      <c r="Y83" s="4">
        <f t="shared" si="44"/>
        <v>-383.031746031746</v>
      </c>
      <c r="Z83" s="4">
        <f t="shared" si="45"/>
        <v>-271.44841269841277</v>
      </c>
      <c r="AA83" s="4">
        <f t="shared" si="46"/>
        <v>-439.44841269841277</v>
      </c>
      <c r="AB83" s="4">
        <f t="shared" si="59"/>
        <v>-191.44841269841277</v>
      </c>
      <c r="AC83" s="4">
        <f t="shared" si="56"/>
        <v>435.55158730158723</v>
      </c>
      <c r="AD83" s="17">
        <f t="shared" si="58"/>
        <v>-241.44841269841277</v>
      </c>
      <c r="AE83" s="4">
        <f t="shared" si="48"/>
        <v>42.121031746031804</v>
      </c>
      <c r="AF83" s="17">
        <f t="shared" si="57"/>
        <v>61.72321428571426</v>
      </c>
      <c r="AG83" s="74">
        <f t="shared" si="49"/>
        <v>1726.8520408163265</v>
      </c>
      <c r="AH83" s="74">
        <f t="shared" si="50"/>
        <v>1240.8055555555557</v>
      </c>
      <c r="AI83" s="74">
        <f t="shared" si="53"/>
        <v>486.04648526077085</v>
      </c>
    </row>
    <row r="84" spans="1:35" ht="12.75" customHeight="1">
      <c r="A84" s="22">
        <v>31563</v>
      </c>
      <c r="B84" s="52">
        <f>AVERAGE(D84:O84)</f>
        <v>1563.327380952381</v>
      </c>
      <c r="C84" s="74">
        <v>1357</v>
      </c>
      <c r="D84" s="84">
        <f>1893+58</f>
        <v>1951</v>
      </c>
      <c r="E84" s="45">
        <v>1386</v>
      </c>
      <c r="F84" s="45">
        <f t="shared" si="28"/>
        <v>1152</v>
      </c>
      <c r="G84" s="45">
        <f t="shared" si="29"/>
        <v>1309</v>
      </c>
      <c r="H84" s="45">
        <f t="shared" si="30"/>
        <v>1183</v>
      </c>
      <c r="I84" s="45">
        <f t="shared" si="31"/>
        <v>1426.5</v>
      </c>
      <c r="J84" s="45">
        <f t="shared" si="32"/>
        <v>1803</v>
      </c>
      <c r="K84" s="45">
        <f t="shared" si="33"/>
        <v>1438.4285714285716</v>
      </c>
      <c r="L84" s="45">
        <f t="shared" si="34"/>
        <v>1634</v>
      </c>
      <c r="M84" s="45">
        <f t="shared" si="35"/>
        <v>1915</v>
      </c>
      <c r="N84" s="45">
        <f t="shared" si="36"/>
        <v>1667</v>
      </c>
      <c r="O84" s="69">
        <f t="shared" si="51"/>
        <v>1895</v>
      </c>
      <c r="P84" s="59">
        <v>31563</v>
      </c>
      <c r="Q84" s="4"/>
      <c r="R84" s="19">
        <f t="shared" si="37"/>
        <v>331.67261904761904</v>
      </c>
      <c r="S84" s="4">
        <f t="shared" si="38"/>
        <v>103.67261904761904</v>
      </c>
      <c r="T84" s="4">
        <f t="shared" si="39"/>
        <v>351.67261904761904</v>
      </c>
      <c r="U84" s="4">
        <f t="shared" si="40"/>
        <v>70.67261904761904</v>
      </c>
      <c r="V84" s="4">
        <f t="shared" si="41"/>
        <v>-124.8988095238094</v>
      </c>
      <c r="W84" s="4">
        <f t="shared" si="42"/>
        <v>239.67261904761904</v>
      </c>
      <c r="X84" s="4">
        <f t="shared" si="43"/>
        <v>-136.82738095238096</v>
      </c>
      <c r="Y84" s="4">
        <f t="shared" si="44"/>
        <v>-380.32738095238096</v>
      </c>
      <c r="Z84" s="4">
        <f t="shared" si="45"/>
        <v>-254.32738095238096</v>
      </c>
      <c r="AA84" s="4">
        <f t="shared" si="46"/>
        <v>-411.32738095238096</v>
      </c>
      <c r="AB84" s="4">
        <f t="shared" si="59"/>
        <v>-177.32738095238096</v>
      </c>
      <c r="AC84" s="4">
        <f t="shared" si="56"/>
        <v>387.67261904761904</v>
      </c>
      <c r="AD84" s="17">
        <f t="shared" si="58"/>
        <v>-206.32738095238096</v>
      </c>
      <c r="AE84" s="4">
        <f t="shared" si="48"/>
        <v>31.336309523809632</v>
      </c>
      <c r="AF84" s="17">
        <f t="shared" si="57"/>
        <v>41.92103174603176</v>
      </c>
      <c r="AG84" s="74">
        <f t="shared" si="49"/>
        <v>1682.7040816326532</v>
      </c>
      <c r="AH84" s="74">
        <f t="shared" si="50"/>
        <v>1214.6666666666667</v>
      </c>
      <c r="AI84" s="74">
        <f t="shared" si="53"/>
        <v>468.0374149659865</v>
      </c>
    </row>
    <row r="85" spans="1:35" ht="12.75" customHeight="1">
      <c r="A85" s="22">
        <v>31532</v>
      </c>
      <c r="B85" s="52">
        <f aca="true" t="shared" si="60" ref="B85:B94">AVERAGE(D85:O85)</f>
        <v>1531.9910714285713</v>
      </c>
      <c r="C85" s="65">
        <v>1299</v>
      </c>
      <c r="D85" s="84">
        <f>1882+58</f>
        <v>1940</v>
      </c>
      <c r="E85" s="45">
        <v>1386</v>
      </c>
      <c r="F85" s="45">
        <f t="shared" si="28"/>
        <v>1143</v>
      </c>
      <c r="G85" s="45">
        <f t="shared" si="29"/>
        <v>1284</v>
      </c>
      <c r="H85" s="45">
        <f t="shared" si="30"/>
        <v>1155</v>
      </c>
      <c r="I85" s="45">
        <f t="shared" si="31"/>
        <v>1351.75</v>
      </c>
      <c r="J85" s="45">
        <f t="shared" si="32"/>
        <v>1727</v>
      </c>
      <c r="K85" s="45">
        <f t="shared" si="33"/>
        <v>1417.1428571428569</v>
      </c>
      <c r="L85" s="45">
        <f t="shared" si="34"/>
        <v>1606</v>
      </c>
      <c r="M85" s="45">
        <f t="shared" si="35"/>
        <v>1827</v>
      </c>
      <c r="N85" s="45">
        <f t="shared" si="36"/>
        <v>1662</v>
      </c>
      <c r="O85" s="69">
        <f t="shared" si="51"/>
        <v>1885</v>
      </c>
      <c r="P85" s="59">
        <v>31532</v>
      </c>
      <c r="Q85" s="4"/>
      <c r="R85" s="19">
        <f t="shared" si="37"/>
        <v>353.00892857142867</v>
      </c>
      <c r="S85" s="4">
        <f t="shared" si="38"/>
        <v>130.00892857142867</v>
      </c>
      <c r="T85" s="4">
        <f t="shared" si="39"/>
        <v>295.00892857142867</v>
      </c>
      <c r="U85" s="4">
        <f t="shared" si="40"/>
        <v>74.00892857142867</v>
      </c>
      <c r="V85" s="4">
        <f t="shared" si="41"/>
        <v>-114.84821428571445</v>
      </c>
      <c r="W85" s="4">
        <f t="shared" si="42"/>
        <v>195.00892857142867</v>
      </c>
      <c r="X85" s="4">
        <f t="shared" si="43"/>
        <v>-180.24107142857133</v>
      </c>
      <c r="Y85" s="4">
        <f t="shared" si="44"/>
        <v>-376.99107142857133</v>
      </c>
      <c r="Z85" s="4">
        <f t="shared" si="45"/>
        <v>-247.99107142857133</v>
      </c>
      <c r="AA85" s="4">
        <f t="shared" si="46"/>
        <v>-388.99107142857133</v>
      </c>
      <c r="AB85" s="4">
        <f t="shared" si="59"/>
        <v>-145.99107142857133</v>
      </c>
      <c r="AC85" s="4">
        <f t="shared" si="56"/>
        <v>408.00892857142867</v>
      </c>
      <c r="AD85" s="17">
        <f aca="true" t="shared" si="61" ref="AD85:AD93">C85-B85</f>
        <v>-232.99107142857133</v>
      </c>
      <c r="AE85" s="4">
        <f t="shared" si="48"/>
        <v>33.91964285714266</v>
      </c>
      <c r="AF85" s="17">
        <f t="shared" si="57"/>
        <v>45.72658730158732</v>
      </c>
      <c r="AG85" s="74">
        <f t="shared" si="49"/>
        <v>1639.4132653061224</v>
      </c>
      <c r="AH85" s="74">
        <f t="shared" si="50"/>
        <v>1194</v>
      </c>
      <c r="AI85" s="74">
        <f t="shared" si="53"/>
        <v>445.4132653061224</v>
      </c>
    </row>
    <row r="86" spans="1:35" ht="12.75" customHeight="1">
      <c r="A86" s="22">
        <v>31502</v>
      </c>
      <c r="B86" s="52">
        <f t="shared" si="60"/>
        <v>1498.0714285714287</v>
      </c>
      <c r="C86" s="65">
        <v>1065</v>
      </c>
      <c r="D86" s="84">
        <f>1869+58+7</f>
        <v>1934</v>
      </c>
      <c r="E86" s="45">
        <v>1361</v>
      </c>
      <c r="F86" s="45">
        <f t="shared" si="28"/>
        <v>1133</v>
      </c>
      <c r="G86" s="45">
        <f t="shared" si="29"/>
        <v>1259</v>
      </c>
      <c r="H86" s="45">
        <f t="shared" si="30"/>
        <v>1143</v>
      </c>
      <c r="I86" s="45">
        <f t="shared" si="31"/>
        <v>1277</v>
      </c>
      <c r="J86" s="45">
        <f t="shared" si="32"/>
        <v>1650</v>
      </c>
      <c r="K86" s="45">
        <f t="shared" si="33"/>
        <v>1395.8571428571431</v>
      </c>
      <c r="L86" s="45">
        <f t="shared" si="34"/>
        <v>1560</v>
      </c>
      <c r="M86" s="45">
        <f t="shared" si="35"/>
        <v>1739</v>
      </c>
      <c r="N86" s="45">
        <f t="shared" si="36"/>
        <v>1650</v>
      </c>
      <c r="O86" s="69">
        <f t="shared" si="51"/>
        <v>1875</v>
      </c>
      <c r="P86" s="59">
        <v>31502</v>
      </c>
      <c r="Q86" s="4"/>
      <c r="R86" s="19">
        <f t="shared" si="37"/>
        <v>376.92857142857133</v>
      </c>
      <c r="S86" s="4">
        <f t="shared" si="38"/>
        <v>151.92857142857133</v>
      </c>
      <c r="T86" s="4">
        <f t="shared" si="39"/>
        <v>240.92857142857133</v>
      </c>
      <c r="U86" s="4">
        <f t="shared" si="40"/>
        <v>61.92857142857133</v>
      </c>
      <c r="V86" s="4">
        <f t="shared" si="41"/>
        <v>-102.21428571428555</v>
      </c>
      <c r="W86" s="4">
        <f t="shared" si="42"/>
        <v>151.92857142857133</v>
      </c>
      <c r="X86" s="4">
        <f t="shared" si="43"/>
        <v>-221.07142857142867</v>
      </c>
      <c r="Y86" s="4">
        <f t="shared" si="44"/>
        <v>-355.07142857142867</v>
      </c>
      <c r="Z86" s="4">
        <f t="shared" si="45"/>
        <v>-239.07142857142867</v>
      </c>
      <c r="AA86" s="4">
        <f t="shared" si="46"/>
        <v>-365.07142857142867</v>
      </c>
      <c r="AB86" s="4">
        <f t="shared" si="59"/>
        <v>-137.07142857142867</v>
      </c>
      <c r="AC86" s="4">
        <f t="shared" si="56"/>
        <v>435.92857142857133</v>
      </c>
      <c r="AD86" s="17">
        <f t="shared" si="61"/>
        <v>-433.07142857142867</v>
      </c>
      <c r="AE86" s="4">
        <f t="shared" si="48"/>
        <v>56.35714285714312</v>
      </c>
      <c r="AF86" s="17">
        <f t="shared" si="57"/>
        <v>57.54880952380954</v>
      </c>
      <c r="AG86" s="74">
        <f t="shared" si="49"/>
        <v>1592.4081632653063</v>
      </c>
      <c r="AH86" s="74">
        <f t="shared" si="50"/>
        <v>1178.3333333333333</v>
      </c>
      <c r="AI86" s="74">
        <f t="shared" si="53"/>
        <v>414.074829931973</v>
      </c>
    </row>
    <row r="87" spans="1:35" ht="12.75" customHeight="1">
      <c r="A87" s="22">
        <v>31471</v>
      </c>
      <c r="B87" s="52">
        <f t="shared" si="60"/>
        <v>1441.7142857142856</v>
      </c>
      <c r="C87" s="65">
        <v>979</v>
      </c>
      <c r="D87" s="86">
        <f>1851+58</f>
        <v>1909</v>
      </c>
      <c r="E87" s="45">
        <v>1359</v>
      </c>
      <c r="F87" s="45">
        <f t="shared" si="28"/>
        <v>983</v>
      </c>
      <c r="G87" s="45">
        <f t="shared" si="29"/>
        <v>1234</v>
      </c>
      <c r="H87" s="45">
        <f t="shared" si="30"/>
        <v>1133</v>
      </c>
      <c r="I87" s="45">
        <f t="shared" si="31"/>
        <v>1269</v>
      </c>
      <c r="J87" s="45">
        <f t="shared" si="32"/>
        <v>1574</v>
      </c>
      <c r="K87" s="45">
        <f t="shared" si="33"/>
        <v>1374.5714285714284</v>
      </c>
      <c r="L87" s="45">
        <f t="shared" si="34"/>
        <v>1292</v>
      </c>
      <c r="M87" s="45">
        <f t="shared" si="35"/>
        <v>1651</v>
      </c>
      <c r="N87" s="45">
        <f t="shared" si="36"/>
        <v>1647</v>
      </c>
      <c r="O87" s="69">
        <f t="shared" si="51"/>
        <v>1875</v>
      </c>
      <c r="P87" s="59">
        <v>31471</v>
      </c>
      <c r="Q87" s="4"/>
      <c r="R87" s="19">
        <f t="shared" si="37"/>
        <v>433.28571428571445</v>
      </c>
      <c r="S87" s="4">
        <f t="shared" si="38"/>
        <v>205.28571428571445</v>
      </c>
      <c r="T87" s="4">
        <f t="shared" si="39"/>
        <v>209.28571428571445</v>
      </c>
      <c r="U87" s="4">
        <f t="shared" si="40"/>
        <v>-149.71428571428555</v>
      </c>
      <c r="V87" s="4">
        <f t="shared" si="41"/>
        <v>-67.14285714285711</v>
      </c>
      <c r="W87" s="4">
        <f t="shared" si="42"/>
        <v>132.28571428571445</v>
      </c>
      <c r="X87" s="4">
        <f t="shared" si="43"/>
        <v>-172.71428571428555</v>
      </c>
      <c r="Y87" s="4">
        <f t="shared" si="44"/>
        <v>-308.71428571428555</v>
      </c>
      <c r="Z87" s="4">
        <f t="shared" si="45"/>
        <v>-207.71428571428555</v>
      </c>
      <c r="AA87" s="4">
        <f t="shared" si="46"/>
        <v>-458.71428571428555</v>
      </c>
      <c r="AB87" s="4">
        <f t="shared" si="59"/>
        <v>-82.71428571428555</v>
      </c>
      <c r="AC87" s="4">
        <f t="shared" si="56"/>
        <v>467.28571428571445</v>
      </c>
      <c r="AD87" s="17">
        <f t="shared" si="61"/>
        <v>-462.71428571428555</v>
      </c>
      <c r="AE87" s="4">
        <f t="shared" si="48"/>
        <v>64.8988095238094</v>
      </c>
      <c r="AF87" s="17">
        <f t="shared" si="57"/>
        <v>62.73154761904762</v>
      </c>
      <c r="AG87" s="74">
        <f t="shared" si="49"/>
        <v>1526.081632653061</v>
      </c>
      <c r="AH87" s="74">
        <f t="shared" si="50"/>
        <v>1116.6666666666667</v>
      </c>
      <c r="AI87" s="74">
        <f t="shared" si="53"/>
        <v>409.41496598639424</v>
      </c>
    </row>
    <row r="88" spans="1:35" ht="12.75" customHeight="1">
      <c r="A88" s="22">
        <v>31443</v>
      </c>
      <c r="B88" s="52">
        <f t="shared" si="60"/>
        <v>1376.8154761904761</v>
      </c>
      <c r="C88" s="65">
        <v>916</v>
      </c>
      <c r="D88" s="86">
        <f aca="true" t="shared" si="62" ref="D88:D94">D39-D$47</f>
        <v>1693</v>
      </c>
      <c r="E88" s="45">
        <v>1193</v>
      </c>
      <c r="F88" s="45">
        <f t="shared" si="28"/>
        <v>886</v>
      </c>
      <c r="G88" s="45">
        <f t="shared" si="29"/>
        <v>1209</v>
      </c>
      <c r="H88" s="45">
        <f t="shared" si="30"/>
        <v>1125.5</v>
      </c>
      <c r="I88" s="45">
        <f t="shared" si="31"/>
        <v>1251</v>
      </c>
      <c r="J88" s="45">
        <f t="shared" si="32"/>
        <v>1497</v>
      </c>
      <c r="K88" s="45">
        <f t="shared" si="33"/>
        <v>1353.2857142857142</v>
      </c>
      <c r="L88" s="45">
        <f t="shared" si="34"/>
        <v>1255</v>
      </c>
      <c r="M88" s="45">
        <f t="shared" si="35"/>
        <v>1563</v>
      </c>
      <c r="N88" s="45">
        <f t="shared" si="36"/>
        <v>1641</v>
      </c>
      <c r="O88" s="69">
        <f t="shared" si="51"/>
        <v>1855</v>
      </c>
      <c r="P88" s="59">
        <v>31443</v>
      </c>
      <c r="Q88" s="4"/>
      <c r="R88" s="19">
        <f t="shared" si="37"/>
        <v>478.18452380952385</v>
      </c>
      <c r="S88" s="4">
        <f t="shared" si="38"/>
        <v>264.18452380952385</v>
      </c>
      <c r="T88" s="4">
        <f t="shared" si="39"/>
        <v>186.18452380952385</v>
      </c>
      <c r="U88" s="4">
        <f t="shared" si="40"/>
        <v>-121.81547619047615</v>
      </c>
      <c r="V88" s="4">
        <f t="shared" si="41"/>
        <v>-23.529761904761926</v>
      </c>
      <c r="W88" s="4">
        <f t="shared" si="42"/>
        <v>120.18452380952385</v>
      </c>
      <c r="X88" s="4">
        <f t="shared" si="43"/>
        <v>-125.81547619047615</v>
      </c>
      <c r="Y88" s="4">
        <f t="shared" si="44"/>
        <v>-251.31547619047615</v>
      </c>
      <c r="Z88" s="4">
        <f t="shared" si="45"/>
        <v>-167.81547619047615</v>
      </c>
      <c r="AA88" s="4">
        <f t="shared" si="46"/>
        <v>-490.81547619047615</v>
      </c>
      <c r="AB88" s="4">
        <f t="shared" si="59"/>
        <v>-183.81547619047615</v>
      </c>
      <c r="AC88" s="4">
        <f t="shared" si="56"/>
        <v>316.18452380952385</v>
      </c>
      <c r="AD88" s="17">
        <f t="shared" si="61"/>
        <v>-460.81547619047615</v>
      </c>
      <c r="AE88" s="4">
        <f t="shared" si="48"/>
        <v>101.23214285714289</v>
      </c>
      <c r="AF88" s="17">
        <f t="shared" si="57"/>
        <v>70.91984126984126</v>
      </c>
      <c r="AG88" s="74">
        <f t="shared" si="49"/>
        <v>1487.8979591836735</v>
      </c>
      <c r="AH88" s="74">
        <f t="shared" si="50"/>
        <v>1073.5</v>
      </c>
      <c r="AI88" s="74">
        <f t="shared" si="53"/>
        <v>414.3979591836735</v>
      </c>
    </row>
    <row r="89" spans="1:35" ht="12.75" customHeight="1">
      <c r="A89" s="22">
        <v>31412</v>
      </c>
      <c r="B89" s="54">
        <f t="shared" si="60"/>
        <v>1275.5833333333333</v>
      </c>
      <c r="C89" s="66">
        <v>831</v>
      </c>
      <c r="D89" s="87">
        <f t="shared" si="62"/>
        <v>1542</v>
      </c>
      <c r="E89" s="47">
        <v>1114</v>
      </c>
      <c r="F89" s="47">
        <f t="shared" si="28"/>
        <v>826</v>
      </c>
      <c r="G89" s="47">
        <f t="shared" si="29"/>
        <v>1098</v>
      </c>
      <c r="H89" s="47">
        <f t="shared" si="30"/>
        <v>1118</v>
      </c>
      <c r="I89" s="47">
        <f t="shared" si="31"/>
        <v>1243</v>
      </c>
      <c r="J89" s="47">
        <f t="shared" si="32"/>
        <v>1421</v>
      </c>
      <c r="K89" s="47">
        <f t="shared" si="33"/>
        <v>1332</v>
      </c>
      <c r="L89" s="47">
        <f t="shared" si="34"/>
        <v>1255</v>
      </c>
      <c r="M89" s="47">
        <f t="shared" si="35"/>
        <v>1404</v>
      </c>
      <c r="N89" s="47">
        <f t="shared" si="36"/>
        <v>1629</v>
      </c>
      <c r="O89" s="70">
        <f t="shared" si="51"/>
        <v>1325</v>
      </c>
      <c r="P89" s="59">
        <v>31412</v>
      </c>
      <c r="Q89" s="4"/>
      <c r="R89" s="19">
        <f t="shared" si="37"/>
        <v>49.41666666666674</v>
      </c>
      <c r="S89" s="4">
        <f t="shared" si="38"/>
        <v>353.41666666666674</v>
      </c>
      <c r="T89" s="4">
        <f t="shared" si="39"/>
        <v>128.41666666666674</v>
      </c>
      <c r="U89" s="4">
        <f t="shared" si="40"/>
        <v>-20.583333333333258</v>
      </c>
      <c r="V89" s="4">
        <f t="shared" si="41"/>
        <v>56.41666666666674</v>
      </c>
      <c r="W89" s="25">
        <f t="shared" si="42"/>
        <v>145.41666666666674</v>
      </c>
      <c r="X89" s="25">
        <f t="shared" si="43"/>
        <v>-32.58333333333326</v>
      </c>
      <c r="Y89" s="4">
        <f t="shared" si="44"/>
        <v>-157.58333333333326</v>
      </c>
      <c r="Z89" s="4">
        <f t="shared" si="45"/>
        <v>-177.58333333333326</v>
      </c>
      <c r="AA89" s="25">
        <f t="shared" si="46"/>
        <v>-449.58333333333326</v>
      </c>
      <c r="AB89" s="4">
        <f t="shared" si="59"/>
        <v>-161.58333333333326</v>
      </c>
      <c r="AC89" s="25">
        <f t="shared" si="56"/>
        <v>266.41666666666674</v>
      </c>
      <c r="AD89" s="23">
        <f t="shared" si="61"/>
        <v>-444.58333333333326</v>
      </c>
      <c r="AE89" s="4">
        <f t="shared" si="48"/>
        <v>57.25</v>
      </c>
      <c r="AF89" s="17">
        <f t="shared" si="57"/>
        <v>69.4706349206349</v>
      </c>
      <c r="AG89" s="71">
        <f t="shared" si="49"/>
        <v>1372.7142857142858</v>
      </c>
      <c r="AH89" s="71">
        <f t="shared" si="50"/>
        <v>1014</v>
      </c>
      <c r="AI89" s="71">
        <f t="shared" si="53"/>
        <v>358.7142857142858</v>
      </c>
    </row>
    <row r="90" spans="1:35" ht="12.75" customHeight="1">
      <c r="A90" s="26">
        <v>31381</v>
      </c>
      <c r="B90" s="52">
        <f t="shared" si="60"/>
        <v>1218.3333333333333</v>
      </c>
      <c r="C90" s="62">
        <v>790</v>
      </c>
      <c r="D90" s="86">
        <f t="shared" si="62"/>
        <v>1395</v>
      </c>
      <c r="E90" s="45">
        <v>1080</v>
      </c>
      <c r="F90" s="45">
        <f t="shared" si="28"/>
        <v>766</v>
      </c>
      <c r="G90" s="45">
        <f t="shared" si="29"/>
        <v>1026</v>
      </c>
      <c r="H90" s="45">
        <f t="shared" si="30"/>
        <v>1091</v>
      </c>
      <c r="I90" s="45">
        <f t="shared" si="31"/>
        <v>1235</v>
      </c>
      <c r="J90" s="45">
        <f t="shared" si="32"/>
        <v>1344</v>
      </c>
      <c r="K90" s="45">
        <f t="shared" si="33"/>
        <v>1295</v>
      </c>
      <c r="L90" s="45">
        <f t="shared" si="34"/>
        <v>1252</v>
      </c>
      <c r="M90" s="45">
        <f t="shared" si="35"/>
        <v>1366</v>
      </c>
      <c r="N90" s="45">
        <f t="shared" si="36"/>
        <v>1520</v>
      </c>
      <c r="O90" s="69">
        <f t="shared" si="51"/>
        <v>1250</v>
      </c>
      <c r="P90" s="60">
        <v>31381</v>
      </c>
      <c r="Q90" s="13"/>
      <c r="R90" s="15">
        <f t="shared" si="37"/>
        <v>31.666666666666742</v>
      </c>
      <c r="S90" s="13">
        <f t="shared" si="38"/>
        <v>301.66666666666674</v>
      </c>
      <c r="T90" s="13">
        <f t="shared" si="39"/>
        <v>147.66666666666674</v>
      </c>
      <c r="U90" s="13">
        <f t="shared" si="40"/>
        <v>33.66666666666674</v>
      </c>
      <c r="V90" s="13">
        <f t="shared" si="41"/>
        <v>76.66666666666674</v>
      </c>
      <c r="W90" s="4">
        <f t="shared" si="42"/>
        <v>125.66666666666674</v>
      </c>
      <c r="X90" s="4">
        <f t="shared" si="43"/>
        <v>16.666666666666742</v>
      </c>
      <c r="Y90" s="13">
        <f t="shared" si="44"/>
        <v>-127.33333333333326</v>
      </c>
      <c r="Z90" s="13">
        <f t="shared" si="45"/>
        <v>-192.33333333333326</v>
      </c>
      <c r="AA90" s="4">
        <f t="shared" si="46"/>
        <v>-452.33333333333326</v>
      </c>
      <c r="AB90" s="13">
        <f t="shared" si="59"/>
        <v>-138.33333333333326</v>
      </c>
      <c r="AC90" s="4">
        <f t="shared" si="56"/>
        <v>176.66666666666674</v>
      </c>
      <c r="AD90" s="17">
        <f t="shared" si="61"/>
        <v>-428.33333333333326</v>
      </c>
      <c r="AE90" s="13">
        <f t="shared" si="48"/>
        <v>74.86111111111086</v>
      </c>
      <c r="AF90" s="12">
        <f t="shared" si="57"/>
        <v>66.79945887445888</v>
      </c>
      <c r="AG90" s="74">
        <f t="shared" si="49"/>
        <v>1323.142857142857</v>
      </c>
      <c r="AH90" s="74">
        <f t="shared" si="50"/>
        <v>961</v>
      </c>
      <c r="AI90" s="74">
        <f t="shared" si="53"/>
        <v>362.1428571428571</v>
      </c>
    </row>
    <row r="91" spans="1:35" ht="12.75" customHeight="1">
      <c r="A91" s="22">
        <v>31351</v>
      </c>
      <c r="B91" s="52">
        <f t="shared" si="60"/>
        <v>1143.4722222222224</v>
      </c>
      <c r="C91" s="65">
        <v>775</v>
      </c>
      <c r="D91" s="86">
        <f t="shared" si="62"/>
        <v>1324</v>
      </c>
      <c r="E91" s="45">
        <v>1033</v>
      </c>
      <c r="F91" s="45">
        <f t="shared" si="28"/>
        <v>724</v>
      </c>
      <c r="G91" s="45">
        <f t="shared" si="29"/>
        <v>947.6666666666667</v>
      </c>
      <c r="H91" s="45">
        <f t="shared" si="30"/>
        <v>1025</v>
      </c>
      <c r="I91" s="45">
        <f t="shared" si="31"/>
        <v>1229</v>
      </c>
      <c r="J91" s="45">
        <f t="shared" si="32"/>
        <v>1268</v>
      </c>
      <c r="K91" s="45">
        <f t="shared" si="33"/>
        <v>1258</v>
      </c>
      <c r="L91" s="45">
        <f t="shared" si="34"/>
        <v>1014</v>
      </c>
      <c r="M91" s="45">
        <f t="shared" si="35"/>
        <v>1332</v>
      </c>
      <c r="N91" s="45">
        <f t="shared" si="36"/>
        <v>1362</v>
      </c>
      <c r="O91" s="69">
        <f t="shared" si="51"/>
        <v>1205</v>
      </c>
      <c r="P91" s="59">
        <v>31351</v>
      </c>
      <c r="Q91" s="4"/>
      <c r="R91" s="19">
        <f t="shared" si="37"/>
        <v>61.5277777777776</v>
      </c>
      <c r="S91" s="4">
        <f t="shared" si="38"/>
        <v>218.5277777777776</v>
      </c>
      <c r="T91" s="4">
        <f t="shared" si="39"/>
        <v>188.5277777777776</v>
      </c>
      <c r="U91" s="4">
        <f t="shared" si="40"/>
        <v>-129.4722222222224</v>
      </c>
      <c r="V91" s="4">
        <f t="shared" si="41"/>
        <v>114.5277777777776</v>
      </c>
      <c r="W91" s="4">
        <f t="shared" si="42"/>
        <v>124.5277777777776</v>
      </c>
      <c r="X91" s="4">
        <f t="shared" si="43"/>
        <v>85.5277777777776</v>
      </c>
      <c r="Y91" s="4">
        <f t="shared" si="44"/>
        <v>-118.4722222222224</v>
      </c>
      <c r="Z91" s="4">
        <f t="shared" si="45"/>
        <v>-195.80555555555566</v>
      </c>
      <c r="AA91" s="4">
        <f t="shared" si="46"/>
        <v>-419.4722222222224</v>
      </c>
      <c r="AB91" s="4">
        <f t="shared" si="59"/>
        <v>-110.4722222222224</v>
      </c>
      <c r="AC91" s="4">
        <f t="shared" si="56"/>
        <v>180.5277777777776</v>
      </c>
      <c r="AD91" s="17">
        <f t="shared" si="61"/>
        <v>-368.4722222222224</v>
      </c>
      <c r="AE91" s="4">
        <f t="shared" si="48"/>
        <v>49.11111111111131</v>
      </c>
      <c r="AF91" s="17">
        <f t="shared" si="57"/>
        <v>64.31666666666665</v>
      </c>
      <c r="AG91" s="74">
        <f t="shared" si="49"/>
        <v>1238.2857142857142</v>
      </c>
      <c r="AH91" s="74">
        <f t="shared" si="50"/>
        <v>898.888888888889</v>
      </c>
      <c r="AI91" s="74">
        <f t="shared" si="53"/>
        <v>339.3968253968252</v>
      </c>
    </row>
    <row r="92" spans="1:35" ht="12.75" customHeight="1">
      <c r="A92" s="22">
        <v>31320</v>
      </c>
      <c r="B92" s="52">
        <f t="shared" si="60"/>
        <v>1094.361111111111</v>
      </c>
      <c r="C92" s="65">
        <v>758</v>
      </c>
      <c r="D92" s="86">
        <f t="shared" si="62"/>
        <v>1299</v>
      </c>
      <c r="E92" s="45">
        <v>1018</v>
      </c>
      <c r="F92" s="45">
        <f t="shared" si="28"/>
        <v>633</v>
      </c>
      <c r="G92" s="45">
        <f t="shared" si="29"/>
        <v>869.3333333333333</v>
      </c>
      <c r="H92" s="45">
        <f t="shared" si="30"/>
        <v>967</v>
      </c>
      <c r="I92" s="45">
        <f t="shared" si="31"/>
        <v>1196</v>
      </c>
      <c r="J92" s="45">
        <f t="shared" si="32"/>
        <v>1191</v>
      </c>
      <c r="K92" s="45">
        <f t="shared" si="33"/>
        <v>1221</v>
      </c>
      <c r="L92" s="45">
        <f t="shared" si="34"/>
        <v>981</v>
      </c>
      <c r="M92" s="45">
        <f t="shared" si="35"/>
        <v>1298</v>
      </c>
      <c r="N92" s="45">
        <f t="shared" si="36"/>
        <v>1294</v>
      </c>
      <c r="O92" s="69">
        <f t="shared" si="51"/>
        <v>1165</v>
      </c>
      <c r="P92" s="59">
        <v>31320</v>
      </c>
      <c r="Q92" s="4"/>
      <c r="R92" s="19">
        <f t="shared" si="37"/>
        <v>70.63888888888891</v>
      </c>
      <c r="S92" s="4">
        <f t="shared" si="38"/>
        <v>199.6388888888889</v>
      </c>
      <c r="T92" s="4">
        <f t="shared" si="39"/>
        <v>203.6388888888889</v>
      </c>
      <c r="U92" s="4">
        <f t="shared" si="40"/>
        <v>-113.36111111111109</v>
      </c>
      <c r="V92" s="4">
        <f t="shared" si="41"/>
        <v>126.63888888888891</v>
      </c>
      <c r="W92" s="4">
        <f t="shared" si="42"/>
        <v>96.63888888888891</v>
      </c>
      <c r="X92" s="4">
        <f t="shared" si="43"/>
        <v>101.63888888888891</v>
      </c>
      <c r="Y92" s="4">
        <f t="shared" si="44"/>
        <v>-127.36111111111109</v>
      </c>
      <c r="Z92" s="4">
        <f t="shared" si="45"/>
        <v>-225.02777777777783</v>
      </c>
      <c r="AA92" s="4">
        <f t="shared" si="46"/>
        <v>-461.3611111111111</v>
      </c>
      <c r="AB92" s="4">
        <f t="shared" si="59"/>
        <v>-76.36111111111109</v>
      </c>
      <c r="AC92" s="4">
        <f t="shared" si="56"/>
        <v>204.6388888888889</v>
      </c>
      <c r="AD92" s="17">
        <f t="shared" si="61"/>
        <v>-336.3611111111111</v>
      </c>
      <c r="AE92" s="4">
        <f t="shared" si="48"/>
        <v>51.54292929292933</v>
      </c>
      <c r="AF92" s="17">
        <f>(AE91+AE92+AE93)/3</f>
        <v>63.15740740740747</v>
      </c>
      <c r="AG92" s="74">
        <f t="shared" si="49"/>
        <v>1192.2857142857142</v>
      </c>
      <c r="AH92" s="74">
        <f t="shared" si="50"/>
        <v>823.111111111111</v>
      </c>
      <c r="AI92" s="74">
        <f t="shared" si="53"/>
        <v>369.17460317460325</v>
      </c>
    </row>
    <row r="93" spans="1:35" ht="12.75" customHeight="1">
      <c r="A93" s="22">
        <v>31290</v>
      </c>
      <c r="B93" s="52">
        <f t="shared" si="60"/>
        <v>1042.8181818181818</v>
      </c>
      <c r="C93" s="65">
        <v>750</v>
      </c>
      <c r="D93" s="86">
        <f t="shared" si="62"/>
        <v>1267</v>
      </c>
      <c r="E93" s="45">
        <v>958</v>
      </c>
      <c r="F93" s="45">
        <f t="shared" si="28"/>
        <v>620</v>
      </c>
      <c r="G93" s="45">
        <f t="shared" si="29"/>
        <v>791</v>
      </c>
      <c r="H93" s="45">
        <f t="shared" si="30"/>
        <v>922</v>
      </c>
      <c r="I93" s="45"/>
      <c r="J93" s="45">
        <f t="shared" si="32"/>
        <v>1115</v>
      </c>
      <c r="K93" s="45">
        <f t="shared" si="33"/>
        <v>1184</v>
      </c>
      <c r="L93" s="45">
        <f t="shared" si="34"/>
        <v>948</v>
      </c>
      <c r="M93" s="45">
        <f t="shared" si="35"/>
        <v>1264</v>
      </c>
      <c r="N93" s="45">
        <f t="shared" si="36"/>
        <v>1287</v>
      </c>
      <c r="O93" s="69">
        <f t="shared" si="51"/>
        <v>1115</v>
      </c>
      <c r="P93" s="59">
        <v>31290</v>
      </c>
      <c r="Q93" s="4"/>
      <c r="R93" s="19">
        <f t="shared" si="37"/>
        <v>72.18181818181824</v>
      </c>
      <c r="S93" s="4">
        <f t="shared" si="38"/>
        <v>244.18181818181824</v>
      </c>
      <c r="T93" s="4">
        <f t="shared" si="39"/>
        <v>221.18181818181824</v>
      </c>
      <c r="U93" s="4">
        <f t="shared" si="40"/>
        <v>-94.81818181818176</v>
      </c>
      <c r="V93" s="4">
        <f t="shared" si="41"/>
        <v>141.18181818181824</v>
      </c>
      <c r="W93" s="4">
        <f t="shared" si="42"/>
        <v>72.18181818181824</v>
      </c>
      <c r="Y93" s="4">
        <f t="shared" si="44"/>
        <v>-120.81818181818176</v>
      </c>
      <c r="Z93" s="4">
        <f t="shared" si="45"/>
        <v>-251.81818181818176</v>
      </c>
      <c r="AA93" s="4">
        <f t="shared" si="46"/>
        <v>-422.81818181818176</v>
      </c>
      <c r="AB93" s="4">
        <f t="shared" si="59"/>
        <v>-84.81818181818176</v>
      </c>
      <c r="AC93" s="4">
        <f t="shared" si="56"/>
        <v>224.18181818181824</v>
      </c>
      <c r="AD93" s="17">
        <f t="shared" si="61"/>
        <v>-292.81818181818176</v>
      </c>
      <c r="AE93" s="4">
        <f t="shared" si="48"/>
        <v>88.81818181818176</v>
      </c>
      <c r="AF93" s="17">
        <f>(AE92+AE93)/2</f>
        <v>70.18055555555554</v>
      </c>
      <c r="AG93" s="74">
        <f t="shared" si="49"/>
        <v>1152.1666666666667</v>
      </c>
      <c r="AH93" s="74">
        <f t="shared" si="50"/>
        <v>777.6666666666666</v>
      </c>
      <c r="AI93" s="74">
        <f t="shared" si="53"/>
        <v>374.5000000000001</v>
      </c>
    </row>
    <row r="94" spans="1:35" ht="12.75" customHeight="1">
      <c r="A94" s="28">
        <v>31259</v>
      </c>
      <c r="B94" s="71">
        <f t="shared" si="60"/>
        <v>954</v>
      </c>
      <c r="C94" s="66"/>
      <c r="D94" s="87">
        <f t="shared" si="62"/>
        <v>1267</v>
      </c>
      <c r="E94" s="47">
        <v>879</v>
      </c>
      <c r="F94" s="47">
        <f t="shared" si="28"/>
        <v>578</v>
      </c>
      <c r="G94" s="47">
        <f t="shared" si="29"/>
        <v>791</v>
      </c>
      <c r="H94" s="47">
        <f t="shared" si="30"/>
        <v>863</v>
      </c>
      <c r="I94" s="47"/>
      <c r="J94" s="47">
        <f t="shared" si="32"/>
        <v>1038</v>
      </c>
      <c r="K94" s="47">
        <f t="shared" si="33"/>
        <v>1147</v>
      </c>
      <c r="L94" s="47">
        <f t="shared" si="34"/>
        <v>670</v>
      </c>
      <c r="M94" s="47">
        <f t="shared" si="35"/>
        <v>1230</v>
      </c>
      <c r="N94" s="47">
        <f t="shared" si="36"/>
        <v>1080</v>
      </c>
      <c r="O94" s="70">
        <f t="shared" si="51"/>
        <v>951</v>
      </c>
      <c r="P94" s="61">
        <v>31259</v>
      </c>
      <c r="Q94" s="25"/>
      <c r="R94" s="29">
        <f t="shared" si="37"/>
        <v>-3</v>
      </c>
      <c r="S94" s="25">
        <f t="shared" si="38"/>
        <v>126</v>
      </c>
      <c r="T94" s="25">
        <f t="shared" si="39"/>
        <v>276</v>
      </c>
      <c r="U94" s="25">
        <f t="shared" si="40"/>
        <v>-284</v>
      </c>
      <c r="V94" s="25">
        <f t="shared" si="41"/>
        <v>193</v>
      </c>
      <c r="W94" s="25">
        <f t="shared" si="42"/>
        <v>84</v>
      </c>
      <c r="X94" s="25"/>
      <c r="Y94" s="25">
        <f t="shared" si="44"/>
        <v>-91</v>
      </c>
      <c r="Z94" s="25">
        <f t="shared" si="45"/>
        <v>-163</v>
      </c>
      <c r="AA94" s="25">
        <f t="shared" si="46"/>
        <v>-376</v>
      </c>
      <c r="AB94" s="25">
        <f t="shared" si="59"/>
        <v>-75</v>
      </c>
      <c r="AC94" s="25">
        <f t="shared" si="56"/>
        <v>313</v>
      </c>
      <c r="AD94" s="23"/>
      <c r="AE94" s="25"/>
      <c r="AF94" s="23"/>
      <c r="AG94" s="71">
        <f t="shared" si="49"/>
        <v>1019.3333333333334</v>
      </c>
      <c r="AH94" s="71">
        <f t="shared" si="50"/>
        <v>744</v>
      </c>
      <c r="AI94" s="71">
        <f t="shared" si="53"/>
        <v>275.33333333333337</v>
      </c>
    </row>
  </sheetData>
  <printOptions/>
  <pageMargins left="0.75" right="0.75" top="0.75" bottom="0.75" header="0.5" footer="0.5"/>
  <pageSetup orientation="portrait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J39"/>
  <sheetViews>
    <sheetView workbookViewId="0" topLeftCell="AM1">
      <selection activeCell="AY4" sqref="AY4"/>
    </sheetView>
  </sheetViews>
  <sheetFormatPr defaultColWidth="9.00390625" defaultRowHeight="12.75"/>
  <cols>
    <col min="1" max="1" width="9.125" style="6" customWidth="1"/>
    <col min="2" max="2" width="6.875" style="6" customWidth="1"/>
    <col min="3" max="3" width="7.125" style="6" customWidth="1"/>
    <col min="4" max="4" width="6.875" style="6" customWidth="1"/>
    <col min="5" max="5" width="4.375" style="6" customWidth="1"/>
    <col min="6" max="6" width="4.25390625" style="6" customWidth="1"/>
    <col min="7" max="7" width="5.125" style="6" customWidth="1"/>
    <col min="8" max="8" width="6.375" style="6" customWidth="1"/>
    <col min="9" max="9" width="5.00390625" style="6" customWidth="1"/>
    <col min="10" max="10" width="6.00390625" style="6" customWidth="1"/>
    <col min="11" max="11" width="5.75390625" style="6" customWidth="1"/>
    <col min="12" max="13" width="5.25390625" style="6" customWidth="1"/>
    <col min="14" max="14" width="7.625" style="6" customWidth="1"/>
    <col min="15" max="15" width="5.875" style="6" customWidth="1"/>
    <col min="16" max="16" width="4.25390625" style="6" customWidth="1"/>
    <col min="17" max="17" width="5.125" style="6" customWidth="1"/>
    <col min="18" max="18" width="6.375" style="6" customWidth="1"/>
    <col min="19" max="19" width="5.00390625" style="6" customWidth="1"/>
    <col min="20" max="20" width="6.00390625" style="6" customWidth="1"/>
    <col min="21" max="21" width="5.75390625" style="6" customWidth="1"/>
    <col min="22" max="22" width="5.25390625" style="6" customWidth="1"/>
    <col min="23" max="23" width="7.625" style="6" customWidth="1"/>
    <col min="24" max="25" width="5.875" style="6" customWidth="1"/>
    <col min="26" max="26" width="9.125" style="6" customWidth="1"/>
    <col min="27" max="34" width="7.375" style="33" customWidth="1"/>
    <col min="35" max="35" width="7.625" style="33" customWidth="1"/>
    <col min="36" max="37" width="7.375" style="33" customWidth="1"/>
    <col min="38" max="16384" width="9.125" style="6" customWidth="1"/>
  </cols>
  <sheetData>
    <row r="2" spans="3:49" ht="12.75">
      <c r="C2" s="35" t="s">
        <v>28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35" t="s">
        <v>29</v>
      </c>
      <c r="P2" s="35"/>
      <c r="Q2" s="35"/>
      <c r="R2" s="35"/>
      <c r="S2" s="35"/>
      <c r="T2" s="35"/>
      <c r="U2" s="35"/>
      <c r="V2" s="35"/>
      <c r="W2" s="35"/>
      <c r="X2" s="35"/>
      <c r="Y2" s="35"/>
      <c r="AA2" s="36" t="s">
        <v>30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M2" s="35" t="s">
        <v>31</v>
      </c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60" ht="15.75">
      <c r="A3" s="32" t="s">
        <v>17</v>
      </c>
      <c r="C3" s="6" t="s">
        <v>3</v>
      </c>
      <c r="D3" s="6" t="s">
        <v>32</v>
      </c>
      <c r="E3" s="31" t="s">
        <v>33</v>
      </c>
      <c r="F3" s="31" t="s">
        <v>34</v>
      </c>
      <c r="G3" s="31" t="s">
        <v>35</v>
      </c>
      <c r="H3" s="31" t="s">
        <v>36</v>
      </c>
      <c r="I3" s="31" t="s">
        <v>37</v>
      </c>
      <c r="J3" s="31" t="s">
        <v>38</v>
      </c>
      <c r="K3" s="31" t="s">
        <v>39</v>
      </c>
      <c r="L3" s="31" t="s">
        <v>40</v>
      </c>
      <c r="M3" s="31" t="s">
        <v>41</v>
      </c>
      <c r="O3" s="6" t="s">
        <v>3</v>
      </c>
      <c r="P3" s="6" t="s">
        <v>32</v>
      </c>
      <c r="Q3" s="31" t="s">
        <v>33</v>
      </c>
      <c r="R3" s="31" t="s">
        <v>34</v>
      </c>
      <c r="S3" s="31" t="s">
        <v>35</v>
      </c>
      <c r="T3" s="31" t="s">
        <v>36</v>
      </c>
      <c r="U3" s="31" t="s">
        <v>37</v>
      </c>
      <c r="V3" s="31" t="s">
        <v>38</v>
      </c>
      <c r="W3" s="31" t="s">
        <v>39</v>
      </c>
      <c r="X3" s="31" t="s">
        <v>40</v>
      </c>
      <c r="Y3" s="31" t="s">
        <v>41</v>
      </c>
      <c r="AA3" s="33" t="s">
        <v>3</v>
      </c>
      <c r="AB3" s="33" t="s">
        <v>32</v>
      </c>
      <c r="AC3" s="34" t="s">
        <v>33</v>
      </c>
      <c r="AD3" s="34" t="s">
        <v>42</v>
      </c>
      <c r="AE3" s="34" t="s">
        <v>35</v>
      </c>
      <c r="AF3" s="34" t="s">
        <v>36</v>
      </c>
      <c r="AG3" s="34" t="s">
        <v>43</v>
      </c>
      <c r="AH3" s="34" t="s">
        <v>38</v>
      </c>
      <c r="AI3" s="34" t="s">
        <v>39</v>
      </c>
      <c r="AJ3" s="34" t="s">
        <v>40</v>
      </c>
      <c r="AK3" s="34" t="s">
        <v>41</v>
      </c>
      <c r="AM3" s="33" t="s">
        <v>3</v>
      </c>
      <c r="AN3" s="33" t="s">
        <v>32</v>
      </c>
      <c r="AO3" s="34" t="s">
        <v>33</v>
      </c>
      <c r="AP3" s="34" t="s">
        <v>42</v>
      </c>
      <c r="AQ3" s="34" t="s">
        <v>35</v>
      </c>
      <c r="AR3" s="34" t="s">
        <v>36</v>
      </c>
      <c r="AS3" s="34" t="s">
        <v>43</v>
      </c>
      <c r="AT3" s="34" t="s">
        <v>38</v>
      </c>
      <c r="AU3" s="34" t="s">
        <v>39</v>
      </c>
      <c r="AV3" s="34" t="s">
        <v>40</v>
      </c>
      <c r="AW3" s="34" t="s">
        <v>41</v>
      </c>
      <c r="AY3" s="33" t="s">
        <v>32</v>
      </c>
      <c r="AZ3" s="34" t="s">
        <v>33</v>
      </c>
      <c r="BA3" s="34" t="s">
        <v>42</v>
      </c>
      <c r="BB3" s="34" t="s">
        <v>35</v>
      </c>
      <c r="BC3" s="34" t="s">
        <v>36</v>
      </c>
      <c r="BD3" s="34" t="s">
        <v>43</v>
      </c>
      <c r="BE3" s="34" t="s">
        <v>38</v>
      </c>
      <c r="BF3" s="34" t="s">
        <v>39</v>
      </c>
      <c r="BG3" s="34" t="s">
        <v>40</v>
      </c>
      <c r="BH3" s="34" t="s">
        <v>41</v>
      </c>
    </row>
    <row r="4" spans="1:62" ht="12.75">
      <c r="A4" s="32">
        <v>185.49</v>
      </c>
      <c r="B4" s="30">
        <v>32355</v>
      </c>
      <c r="C4" s="27">
        <f>Numbers!B59</f>
        <v>4520.727272727273</v>
      </c>
      <c r="D4" s="27">
        <f>Numbers!O59</f>
        <v>5885</v>
      </c>
      <c r="E4" s="27">
        <f>Numbers!N59</f>
        <v>4629</v>
      </c>
      <c r="F4" s="27">
        <f>Numbers!M59</f>
        <v>4911</v>
      </c>
      <c r="G4" s="27">
        <f>Numbers!L59</f>
        <v>5582</v>
      </c>
      <c r="H4" s="27">
        <f>Numbers!K59</f>
        <v>3410</v>
      </c>
      <c r="I4" s="27">
        <f>Numbers!J59</f>
        <v>4566</v>
      </c>
      <c r="J4" s="27">
        <f>Numbers!I59</f>
        <v>4892</v>
      </c>
      <c r="K4" s="27">
        <f>Numbers!H59</f>
        <v>3774</v>
      </c>
      <c r="L4" s="27">
        <f>Numbers!G59</f>
        <v>4148</v>
      </c>
      <c r="M4" s="27">
        <f>Numbers!F59</f>
        <v>4247</v>
      </c>
      <c r="O4" s="27">
        <f>C4-C5</f>
        <v>499.04393939394004</v>
      </c>
      <c r="P4" s="27">
        <f aca="true" t="shared" si="0" ref="P4:P39">D4-D5</f>
        <v>690</v>
      </c>
      <c r="Q4" s="27">
        <f aca="true" t="shared" si="1" ref="Q4:Q39">E4-E5</f>
        <v>312</v>
      </c>
      <c r="R4" s="27">
        <f aca="true" t="shared" si="2" ref="R4:R39">F4-F5</f>
        <v>326</v>
      </c>
      <c r="S4" s="27">
        <f aca="true" t="shared" si="3" ref="S4:S39">G4-G5</f>
        <v>390</v>
      </c>
      <c r="T4" s="27">
        <f aca="true" t="shared" si="4" ref="T4:T39">H4-H5</f>
        <v>211</v>
      </c>
      <c r="U4" s="27">
        <f aca="true" t="shared" si="5" ref="U4:U39">I4-I5</f>
        <v>355</v>
      </c>
      <c r="V4" s="27">
        <f aca="true" t="shared" si="6" ref="V4:V39">J4-J5</f>
        <v>637</v>
      </c>
      <c r="W4" s="27">
        <f aca="true" t="shared" si="7" ref="W4:W39">K4-K5</f>
        <v>774</v>
      </c>
      <c r="X4" s="27">
        <f aca="true" t="shared" si="8" ref="X4:Y39">L4-L5</f>
        <v>281.8000000000002</v>
      </c>
      <c r="Y4" s="27">
        <f t="shared" si="8"/>
        <v>1034</v>
      </c>
      <c r="AA4" s="33">
        <f>$O4*A4</f>
        <v>92567.66031818194</v>
      </c>
      <c r="AB4" s="33">
        <f>P4*$A4</f>
        <v>127988.1</v>
      </c>
      <c r="AC4" s="33">
        <f aca="true" t="shared" si="9" ref="AC4:AK4">Q4*$A4</f>
        <v>57872.880000000005</v>
      </c>
      <c r="AD4" s="33">
        <f t="shared" si="9"/>
        <v>60469.740000000005</v>
      </c>
      <c r="AE4" s="33">
        <f t="shared" si="9"/>
        <v>72341.1</v>
      </c>
      <c r="AF4" s="33">
        <f t="shared" si="9"/>
        <v>39138.39</v>
      </c>
      <c r="AG4" s="33">
        <f t="shared" si="9"/>
        <v>65848.95</v>
      </c>
      <c r="AH4" s="33">
        <f t="shared" si="9"/>
        <v>118157.13</v>
      </c>
      <c r="AI4" s="33">
        <f t="shared" si="9"/>
        <v>143569.26</v>
      </c>
      <c r="AJ4" s="33">
        <f t="shared" si="9"/>
        <v>52271.08200000004</v>
      </c>
      <c r="AK4" s="33">
        <f t="shared" si="9"/>
        <v>191796.66</v>
      </c>
      <c r="AM4" s="33">
        <f aca="true" t="shared" si="10" ref="AM4:AM38">AM5+AA4</f>
        <v>700786.1174294252</v>
      </c>
      <c r="AN4" s="33">
        <f aca="true" t="shared" si="11" ref="AN4:AN39">AN5+AB4</f>
        <v>931873.15</v>
      </c>
      <c r="AO4" s="33">
        <f aca="true" t="shared" si="12" ref="AO4:AO39">AO5+AC4</f>
        <v>704995.13</v>
      </c>
      <c r="AP4" s="33">
        <f aca="true" t="shared" si="13" ref="AP4:AP39">AP5+AD4</f>
        <v>744889.8450000001</v>
      </c>
      <c r="AQ4" s="33">
        <f aca="true" t="shared" si="14" ref="AQ4:AQ39">AQ5+AE4</f>
        <v>874962.6131999999</v>
      </c>
      <c r="AR4" s="33">
        <f aca="true" t="shared" si="15" ref="AR4:AR39">AR5+AF4</f>
        <v>513658.48785714287</v>
      </c>
      <c r="AS4" s="33">
        <f aca="true" t="shared" si="16" ref="AS4:AS39">AS5+AG4</f>
        <v>690674.1433333332</v>
      </c>
      <c r="AT4" s="33">
        <f aca="true" t="shared" si="17" ref="AT4:AT39">AT5+AH4</f>
        <v>774091.7041666668</v>
      </c>
      <c r="AU4" s="33">
        <f aca="true" t="shared" si="18" ref="AU4:AU39">AU5+AI4</f>
        <v>593290.7744444446</v>
      </c>
      <c r="AV4" s="33">
        <f aca="true" t="shared" si="19" ref="AV4:AW39">AV5+AJ4</f>
        <v>649177.6493333334</v>
      </c>
      <c r="AW4" s="33">
        <f t="shared" si="19"/>
        <v>689914.03</v>
      </c>
      <c r="AX4" s="33"/>
      <c r="AY4" s="33">
        <f aca="true" t="shared" si="20" ref="AY4:BF4">AN4-$AM4</f>
        <v>231087.03257057478</v>
      </c>
      <c r="AZ4" s="33">
        <f t="shared" si="20"/>
        <v>4209.012570574763</v>
      </c>
      <c r="BA4" s="33">
        <f t="shared" si="20"/>
        <v>44103.72757057485</v>
      </c>
      <c r="BB4" s="33">
        <f t="shared" si="20"/>
        <v>174176.49577057466</v>
      </c>
      <c r="BC4" s="33">
        <f t="shared" si="20"/>
        <v>-187127.62957228237</v>
      </c>
      <c r="BD4" s="33">
        <f t="shared" si="20"/>
        <v>-10111.974096092046</v>
      </c>
      <c r="BE4" s="33">
        <f t="shared" si="20"/>
        <v>73305.5867372416</v>
      </c>
      <c r="BF4" s="33">
        <f t="shared" si="20"/>
        <v>-107495.34298498067</v>
      </c>
      <c r="BG4" s="33">
        <f aca="true" t="shared" si="21" ref="BG4:BH19">AV4-$AM4</f>
        <v>-51608.46809609188</v>
      </c>
      <c r="BH4" s="33">
        <f t="shared" si="21"/>
        <v>-10872.087429425213</v>
      </c>
      <c r="BI4" s="33"/>
      <c r="BJ4" s="33"/>
    </row>
    <row r="5" spans="1:62" ht="12.75">
      <c r="A5" s="32">
        <v>185.49</v>
      </c>
      <c r="B5" s="22">
        <v>32324</v>
      </c>
      <c r="C5" s="27">
        <f>Numbers!B60</f>
        <v>4021.683333333333</v>
      </c>
      <c r="D5" s="27">
        <f>Numbers!O60</f>
        <v>5195</v>
      </c>
      <c r="E5" s="27">
        <f>Numbers!N60</f>
        <v>4317</v>
      </c>
      <c r="F5" s="27">
        <f>Numbers!M60</f>
        <v>4585</v>
      </c>
      <c r="G5" s="27">
        <f>Numbers!L60</f>
        <v>5192</v>
      </c>
      <c r="H5" s="27">
        <f>Numbers!K60</f>
        <v>3199</v>
      </c>
      <c r="I5" s="27">
        <f>Numbers!J60</f>
        <v>4211</v>
      </c>
      <c r="J5" s="27">
        <f>Numbers!I60</f>
        <v>4255</v>
      </c>
      <c r="K5" s="27">
        <f>Numbers!H60</f>
        <v>3000</v>
      </c>
      <c r="L5" s="27">
        <f>Numbers!G60</f>
        <v>3866.2</v>
      </c>
      <c r="M5" s="27">
        <f>Numbers!F60</f>
        <v>3213</v>
      </c>
      <c r="O5" s="27">
        <f aca="true" t="shared" si="22" ref="O5:O39">C5-C6</f>
        <v>215.91388888888832</v>
      </c>
      <c r="P5" s="27">
        <f t="shared" si="0"/>
        <v>260</v>
      </c>
      <c r="Q5" s="27">
        <f t="shared" si="1"/>
        <v>160</v>
      </c>
      <c r="R5" s="27">
        <f t="shared" si="2"/>
        <v>203</v>
      </c>
      <c r="S5" s="27">
        <f t="shared" si="3"/>
        <v>291</v>
      </c>
      <c r="T5" s="27">
        <f t="shared" si="4"/>
        <v>153.5</v>
      </c>
      <c r="U5" s="27">
        <f t="shared" si="5"/>
        <v>118</v>
      </c>
      <c r="V5" s="27">
        <f t="shared" si="6"/>
        <v>335</v>
      </c>
      <c r="W5" s="27">
        <f t="shared" si="7"/>
        <v>136.66666666666652</v>
      </c>
      <c r="X5" s="27">
        <f t="shared" si="8"/>
        <v>281.8000000000002</v>
      </c>
      <c r="Y5" s="27">
        <f t="shared" si="8"/>
        <v>273</v>
      </c>
      <c r="AA5" s="33">
        <f aca="true" t="shared" si="23" ref="AA5:AA39">$O5*A5</f>
        <v>40049.867249999894</v>
      </c>
      <c r="AB5" s="33">
        <f aca="true" t="shared" si="24" ref="AB5:AB39">P5*$A5</f>
        <v>48227.4</v>
      </c>
      <c r="AC5" s="33">
        <f aca="true" t="shared" si="25" ref="AC5:AC39">Q5*$A5</f>
        <v>29678.4</v>
      </c>
      <c r="AD5" s="33">
        <f aca="true" t="shared" si="26" ref="AD5:AD39">R5*$A5</f>
        <v>37654.47</v>
      </c>
      <c r="AE5" s="33">
        <f aca="true" t="shared" si="27" ref="AE5:AE39">S5*$A5</f>
        <v>53977.590000000004</v>
      </c>
      <c r="AF5" s="33">
        <f aca="true" t="shared" si="28" ref="AF5:AF39">T5*$A5</f>
        <v>28472.715</v>
      </c>
      <c r="AG5" s="33">
        <f aca="true" t="shared" si="29" ref="AG5:AG39">U5*$A5</f>
        <v>21887.82</v>
      </c>
      <c r="AH5" s="33">
        <f aca="true" t="shared" si="30" ref="AH5:AH39">V5*$A5</f>
        <v>62139.15</v>
      </c>
      <c r="AI5" s="33">
        <f aca="true" t="shared" si="31" ref="AI5:AI39">W5*$A5</f>
        <v>25350.299999999974</v>
      </c>
      <c r="AJ5" s="33">
        <f aca="true" t="shared" si="32" ref="AJ5:AJ39">X5*$A5</f>
        <v>52271.08200000004</v>
      </c>
      <c r="AK5" s="33">
        <f aca="true" t="shared" si="33" ref="AK5:AK39">Y5*$A5</f>
        <v>50638.770000000004</v>
      </c>
      <c r="AM5" s="33">
        <f t="shared" si="10"/>
        <v>608218.4571112433</v>
      </c>
      <c r="AN5" s="33">
        <f t="shared" si="11"/>
        <v>803885.05</v>
      </c>
      <c r="AO5" s="33">
        <f t="shared" si="12"/>
        <v>647122.25</v>
      </c>
      <c r="AP5" s="33">
        <f t="shared" si="13"/>
        <v>684420.1050000001</v>
      </c>
      <c r="AQ5" s="33">
        <f t="shared" si="14"/>
        <v>802621.5131999999</v>
      </c>
      <c r="AR5" s="33">
        <f t="shared" si="15"/>
        <v>474520.09785714286</v>
      </c>
      <c r="AS5" s="33">
        <f t="shared" si="16"/>
        <v>624825.1933333332</v>
      </c>
      <c r="AT5" s="33">
        <f t="shared" si="17"/>
        <v>655934.5741666668</v>
      </c>
      <c r="AU5" s="33">
        <f t="shared" si="18"/>
        <v>449721.5144444445</v>
      </c>
      <c r="AV5" s="33">
        <f t="shared" si="19"/>
        <v>596906.5673333333</v>
      </c>
      <c r="AW5" s="33">
        <f t="shared" si="19"/>
        <v>498117.37</v>
      </c>
      <c r="AX5" s="33"/>
      <c r="AY5" s="33">
        <f aca="true" t="shared" si="34" ref="AY5:AY39">AN5-$AM5</f>
        <v>195666.59288875677</v>
      </c>
      <c r="AZ5" s="33">
        <f aca="true" t="shared" si="35" ref="AZ5:AZ19">AO5-$AM5</f>
        <v>38903.792888756725</v>
      </c>
      <c r="BA5" s="33">
        <f aca="true" t="shared" si="36" ref="BA5:BA19">AP5-$AM5</f>
        <v>76201.64788875682</v>
      </c>
      <c r="BB5" s="33">
        <f aca="true" t="shared" si="37" ref="BB5:BB19">AQ5-$AM5</f>
        <v>194403.05608875665</v>
      </c>
      <c r="BC5" s="33">
        <f aca="true" t="shared" si="38" ref="BC5:BC19">AR5-$AM5</f>
        <v>-133698.35925410042</v>
      </c>
      <c r="BD5" s="33">
        <f aca="true" t="shared" si="39" ref="BD5:BD19">AS5-$AM5</f>
        <v>16606.736222089967</v>
      </c>
      <c r="BE5" s="33">
        <f aca="true" t="shared" si="40" ref="BE5:BE19">AT5-$AM5</f>
        <v>47716.11705542356</v>
      </c>
      <c r="BF5" s="33">
        <f aca="true" t="shared" si="41" ref="BF5:BF19">AU5-$AM5</f>
        <v>-158496.94266679877</v>
      </c>
      <c r="BG5" s="33">
        <f t="shared" si="21"/>
        <v>-11311.889777909964</v>
      </c>
      <c r="BH5" s="33">
        <f t="shared" si="21"/>
        <v>-110101.08711124328</v>
      </c>
      <c r="BI5" s="33"/>
      <c r="BJ5" s="33"/>
    </row>
    <row r="6" spans="1:62" ht="12.75">
      <c r="A6" s="32">
        <v>185.49</v>
      </c>
      <c r="B6" s="22">
        <v>32294</v>
      </c>
      <c r="C6" s="27">
        <f>Numbers!B61</f>
        <v>3805.7694444444446</v>
      </c>
      <c r="D6" s="27">
        <f>Numbers!O61</f>
        <v>4935</v>
      </c>
      <c r="E6" s="27">
        <f>Numbers!N61</f>
        <v>4157</v>
      </c>
      <c r="F6" s="27">
        <f>Numbers!M61</f>
        <v>4382</v>
      </c>
      <c r="G6" s="27">
        <f>Numbers!L61</f>
        <v>4901</v>
      </c>
      <c r="H6" s="27">
        <f>Numbers!K61</f>
        <v>3045.5</v>
      </c>
      <c r="I6" s="27">
        <f>Numbers!J61</f>
        <v>4093</v>
      </c>
      <c r="J6" s="27">
        <f>Numbers!I61</f>
        <v>3920</v>
      </c>
      <c r="K6" s="27">
        <f>Numbers!H61</f>
        <v>2863.3333333333335</v>
      </c>
      <c r="L6" s="27">
        <f>Numbers!G61</f>
        <v>3584.3999999999996</v>
      </c>
      <c r="M6" s="27">
        <f>Numbers!F61</f>
        <v>2940</v>
      </c>
      <c r="O6" s="27">
        <f t="shared" si="22"/>
        <v>168.45944444444467</v>
      </c>
      <c r="P6" s="27">
        <f t="shared" si="0"/>
        <v>220</v>
      </c>
      <c r="Q6" s="27">
        <f t="shared" si="1"/>
        <v>51</v>
      </c>
      <c r="R6" s="27">
        <f t="shared" si="2"/>
        <v>36</v>
      </c>
      <c r="S6" s="27">
        <f t="shared" si="3"/>
        <v>257.3800000000001</v>
      </c>
      <c r="T6" s="27">
        <f t="shared" si="4"/>
        <v>153.5</v>
      </c>
      <c r="U6" s="27">
        <f t="shared" si="5"/>
        <v>155</v>
      </c>
      <c r="V6" s="27">
        <f t="shared" si="6"/>
        <v>219</v>
      </c>
      <c r="W6" s="27">
        <f t="shared" si="7"/>
        <v>173.33333333333348</v>
      </c>
      <c r="X6" s="27">
        <f t="shared" si="8"/>
        <v>281.7999999999997</v>
      </c>
      <c r="Y6" s="27">
        <f t="shared" si="8"/>
        <v>295</v>
      </c>
      <c r="AA6" s="33">
        <f t="shared" si="23"/>
        <v>31247.542350000043</v>
      </c>
      <c r="AB6" s="33">
        <f t="shared" si="24"/>
        <v>40807.8</v>
      </c>
      <c r="AC6" s="33">
        <f t="shared" si="25"/>
        <v>9459.99</v>
      </c>
      <c r="AD6" s="33">
        <f t="shared" si="26"/>
        <v>6677.64</v>
      </c>
      <c r="AE6" s="33">
        <f t="shared" si="27"/>
        <v>47741.41620000002</v>
      </c>
      <c r="AF6" s="33">
        <f t="shared" si="28"/>
        <v>28472.715</v>
      </c>
      <c r="AG6" s="33">
        <f t="shared" si="29"/>
        <v>28750.95</v>
      </c>
      <c r="AH6" s="33">
        <f t="shared" si="30"/>
        <v>40622.310000000005</v>
      </c>
      <c r="AI6" s="33">
        <f t="shared" si="31"/>
        <v>32151.60000000003</v>
      </c>
      <c r="AJ6" s="33">
        <f t="shared" si="32"/>
        <v>52271.08199999995</v>
      </c>
      <c r="AK6" s="33">
        <f t="shared" si="33"/>
        <v>54719.55</v>
      </c>
      <c r="AM6" s="33">
        <f t="shared" si="10"/>
        <v>568168.5898612434</v>
      </c>
      <c r="AN6" s="33">
        <f t="shared" si="11"/>
        <v>755657.65</v>
      </c>
      <c r="AO6" s="33">
        <f t="shared" si="12"/>
        <v>617443.85</v>
      </c>
      <c r="AP6" s="33">
        <f t="shared" si="13"/>
        <v>646765.6350000001</v>
      </c>
      <c r="AQ6" s="33">
        <f t="shared" si="14"/>
        <v>748643.9232</v>
      </c>
      <c r="AR6" s="33">
        <f t="shared" si="15"/>
        <v>446047.38285714283</v>
      </c>
      <c r="AS6" s="33">
        <f t="shared" si="16"/>
        <v>602937.3733333333</v>
      </c>
      <c r="AT6" s="33">
        <f t="shared" si="17"/>
        <v>593795.4241666668</v>
      </c>
      <c r="AU6" s="33">
        <f t="shared" si="18"/>
        <v>424371.2144444445</v>
      </c>
      <c r="AV6" s="33">
        <f t="shared" si="19"/>
        <v>544635.4853333333</v>
      </c>
      <c r="AW6" s="33">
        <f t="shared" si="19"/>
        <v>447478.6</v>
      </c>
      <c r="AX6" s="33"/>
      <c r="AY6" s="33">
        <f t="shared" si="34"/>
        <v>187489.06013875664</v>
      </c>
      <c r="AZ6" s="33">
        <f t="shared" si="35"/>
        <v>49275.260138756596</v>
      </c>
      <c r="BA6" s="33">
        <f t="shared" si="36"/>
        <v>78597.04513875674</v>
      </c>
      <c r="BB6" s="33">
        <f t="shared" si="37"/>
        <v>180475.33333875658</v>
      </c>
      <c r="BC6" s="33">
        <f t="shared" si="38"/>
        <v>-122121.20700410055</v>
      </c>
      <c r="BD6" s="33">
        <f t="shared" si="39"/>
        <v>34768.78347208991</v>
      </c>
      <c r="BE6" s="33">
        <f t="shared" si="40"/>
        <v>25626.83430542343</v>
      </c>
      <c r="BF6" s="33">
        <f t="shared" si="41"/>
        <v>-143797.37541679887</v>
      </c>
      <c r="BG6" s="33">
        <f t="shared" si="21"/>
        <v>-23533.104527910124</v>
      </c>
      <c r="BH6" s="33">
        <f t="shared" si="21"/>
        <v>-120689.9898612434</v>
      </c>
      <c r="BI6" s="33"/>
      <c r="BJ6" s="33"/>
    </row>
    <row r="7" spans="1:62" ht="12.75">
      <c r="A7" s="32">
        <v>181.85</v>
      </c>
      <c r="B7" s="22">
        <v>32263</v>
      </c>
      <c r="C7" s="27">
        <f>Numbers!B62</f>
        <v>3637.31</v>
      </c>
      <c r="D7" s="27">
        <f>Numbers!O62</f>
        <v>4715</v>
      </c>
      <c r="E7" s="27">
        <f>Numbers!N62</f>
        <v>4106</v>
      </c>
      <c r="F7" s="27">
        <f>Numbers!M62</f>
        <v>4346</v>
      </c>
      <c r="G7" s="27">
        <f>Numbers!L62</f>
        <v>4643.62</v>
      </c>
      <c r="H7" s="27">
        <f>Numbers!K62</f>
        <v>2892</v>
      </c>
      <c r="I7" s="27">
        <f>Numbers!J62</f>
        <v>3938</v>
      </c>
      <c r="J7" s="27">
        <f>Numbers!I62</f>
        <v>3701</v>
      </c>
      <c r="K7" s="27">
        <f>Numbers!H62</f>
        <v>2690</v>
      </c>
      <c r="L7" s="27">
        <f>Numbers!G62</f>
        <v>3302.6</v>
      </c>
      <c r="M7" s="27">
        <f>Numbers!F62</f>
        <v>2645</v>
      </c>
      <c r="O7" s="27">
        <f t="shared" si="22"/>
        <v>164.1246166666665</v>
      </c>
      <c r="P7" s="27">
        <f t="shared" si="0"/>
        <v>140</v>
      </c>
      <c r="Q7" s="27">
        <f t="shared" si="1"/>
        <v>158</v>
      </c>
      <c r="R7" s="27">
        <f t="shared" si="2"/>
        <v>70</v>
      </c>
      <c r="S7" s="27">
        <f t="shared" si="3"/>
        <v>441.9453999999996</v>
      </c>
      <c r="T7" s="27">
        <f t="shared" si="4"/>
        <v>82.25</v>
      </c>
      <c r="U7" s="27">
        <f t="shared" si="5"/>
        <v>155</v>
      </c>
      <c r="V7" s="27">
        <f t="shared" si="6"/>
        <v>219</v>
      </c>
      <c r="W7" s="27">
        <f t="shared" si="7"/>
        <v>90</v>
      </c>
      <c r="X7" s="27">
        <f t="shared" si="8"/>
        <v>281.7999999999997</v>
      </c>
      <c r="Y7" s="27">
        <f t="shared" si="8"/>
        <v>178</v>
      </c>
      <c r="AA7" s="33">
        <f t="shared" si="23"/>
        <v>29846.061540833303</v>
      </c>
      <c r="AB7" s="33">
        <f t="shared" si="24"/>
        <v>25459</v>
      </c>
      <c r="AC7" s="33">
        <f t="shared" si="25"/>
        <v>28732.3</v>
      </c>
      <c r="AD7" s="33">
        <f t="shared" si="26"/>
        <v>12729.5</v>
      </c>
      <c r="AE7" s="33">
        <f t="shared" si="27"/>
        <v>80367.77098999993</v>
      </c>
      <c r="AF7" s="33">
        <f t="shared" si="28"/>
        <v>14957.1625</v>
      </c>
      <c r="AG7" s="33">
        <f t="shared" si="29"/>
        <v>28186.75</v>
      </c>
      <c r="AH7" s="33">
        <f t="shared" si="30"/>
        <v>39825.15</v>
      </c>
      <c r="AI7" s="33">
        <f t="shared" si="31"/>
        <v>16366.5</v>
      </c>
      <c r="AJ7" s="33">
        <f t="shared" si="32"/>
        <v>51245.32999999995</v>
      </c>
      <c r="AK7" s="33">
        <f t="shared" si="33"/>
        <v>32369.3</v>
      </c>
      <c r="AM7" s="33">
        <f t="shared" si="10"/>
        <v>536921.0475112434</v>
      </c>
      <c r="AN7" s="33">
        <f t="shared" si="11"/>
        <v>714849.85</v>
      </c>
      <c r="AO7" s="33">
        <f t="shared" si="12"/>
        <v>607983.86</v>
      </c>
      <c r="AP7" s="33">
        <f t="shared" si="13"/>
        <v>640087.9950000001</v>
      </c>
      <c r="AQ7" s="33">
        <f t="shared" si="14"/>
        <v>700902.507</v>
      </c>
      <c r="AR7" s="33">
        <f t="shared" si="15"/>
        <v>417574.6678571428</v>
      </c>
      <c r="AS7" s="33">
        <f t="shared" si="16"/>
        <v>574186.4233333333</v>
      </c>
      <c r="AT7" s="33">
        <f t="shared" si="17"/>
        <v>553173.1141666668</v>
      </c>
      <c r="AU7" s="33">
        <f t="shared" si="18"/>
        <v>392219.6144444445</v>
      </c>
      <c r="AV7" s="33">
        <f t="shared" si="19"/>
        <v>492364.40333333326</v>
      </c>
      <c r="AW7" s="33">
        <f t="shared" si="19"/>
        <v>392759.05</v>
      </c>
      <c r="AX7" s="33"/>
      <c r="AY7" s="33">
        <f t="shared" si="34"/>
        <v>177928.8024887566</v>
      </c>
      <c r="AZ7" s="33">
        <f t="shared" si="35"/>
        <v>71062.81248875661</v>
      </c>
      <c r="BA7" s="33">
        <f t="shared" si="36"/>
        <v>103166.94748875673</v>
      </c>
      <c r="BB7" s="33">
        <f t="shared" si="37"/>
        <v>163981.4594887566</v>
      </c>
      <c r="BC7" s="33">
        <f t="shared" si="38"/>
        <v>-119346.37965410057</v>
      </c>
      <c r="BD7" s="33">
        <f t="shared" si="39"/>
        <v>37265.37582208996</v>
      </c>
      <c r="BE7" s="33">
        <f t="shared" si="40"/>
        <v>16252.066655423376</v>
      </c>
      <c r="BF7" s="33">
        <f t="shared" si="41"/>
        <v>-144701.4330667989</v>
      </c>
      <c r="BG7" s="33">
        <f t="shared" si="21"/>
        <v>-44556.644177910115</v>
      </c>
      <c r="BH7" s="33">
        <f t="shared" si="21"/>
        <v>-144161.9975112434</v>
      </c>
      <c r="BI7" s="33"/>
      <c r="BJ7" s="33"/>
    </row>
    <row r="8" spans="1:62" ht="12.75">
      <c r="A8" s="32">
        <v>181.85</v>
      </c>
      <c r="B8" s="22">
        <v>32233</v>
      </c>
      <c r="C8" s="27">
        <f>Numbers!B63</f>
        <v>3473.1853833333334</v>
      </c>
      <c r="D8" s="27">
        <f>Numbers!O63</f>
        <v>4575</v>
      </c>
      <c r="E8" s="27">
        <f>Numbers!N63</f>
        <v>3948</v>
      </c>
      <c r="F8" s="27">
        <f>Numbers!M63</f>
        <v>4276</v>
      </c>
      <c r="G8" s="27">
        <f>Numbers!L63</f>
        <v>4201.6746</v>
      </c>
      <c r="H8" s="27">
        <f>Numbers!K63</f>
        <v>2809.75</v>
      </c>
      <c r="I8" s="27">
        <f>Numbers!J63</f>
        <v>3783</v>
      </c>
      <c r="J8" s="27">
        <f>Numbers!I63</f>
        <v>3482</v>
      </c>
      <c r="K8" s="27">
        <f>Numbers!H63</f>
        <v>2600</v>
      </c>
      <c r="L8" s="27">
        <f>Numbers!G63</f>
        <v>3020.8</v>
      </c>
      <c r="M8" s="27">
        <f>Numbers!F63</f>
        <v>2467</v>
      </c>
      <c r="O8" s="27">
        <f t="shared" si="22"/>
        <v>198.78260555555562</v>
      </c>
      <c r="P8" s="27">
        <f t="shared" si="0"/>
        <v>620</v>
      </c>
      <c r="Q8" s="27">
        <f t="shared" si="1"/>
        <v>218</v>
      </c>
      <c r="R8" s="27">
        <f t="shared" si="2"/>
        <v>435</v>
      </c>
      <c r="S8" s="27">
        <f t="shared" si="3"/>
        <v>57.67460000000028</v>
      </c>
      <c r="T8" s="27">
        <f t="shared" si="4"/>
        <v>82.25</v>
      </c>
      <c r="U8" s="27">
        <f t="shared" si="5"/>
        <v>155</v>
      </c>
      <c r="V8" s="27">
        <f t="shared" si="6"/>
        <v>124</v>
      </c>
      <c r="W8" s="27">
        <f t="shared" si="7"/>
        <v>94.66666666666652</v>
      </c>
      <c r="X8" s="27">
        <f t="shared" si="8"/>
        <v>281.8000000000002</v>
      </c>
      <c r="Y8" s="27">
        <f t="shared" si="8"/>
        <v>116</v>
      </c>
      <c r="AA8" s="33">
        <f t="shared" si="23"/>
        <v>36148.61682027779</v>
      </c>
      <c r="AB8" s="33">
        <f t="shared" si="24"/>
        <v>112747</v>
      </c>
      <c r="AC8" s="33">
        <f t="shared" si="25"/>
        <v>39643.299999999996</v>
      </c>
      <c r="AD8" s="33">
        <f t="shared" si="26"/>
        <v>79104.75</v>
      </c>
      <c r="AE8" s="33">
        <f t="shared" si="27"/>
        <v>10488.12601000005</v>
      </c>
      <c r="AF8" s="33">
        <f t="shared" si="28"/>
        <v>14957.1625</v>
      </c>
      <c r="AG8" s="33">
        <f t="shared" si="29"/>
        <v>28186.75</v>
      </c>
      <c r="AH8" s="33">
        <f t="shared" si="30"/>
        <v>22549.399999999998</v>
      </c>
      <c r="AI8" s="33">
        <f t="shared" si="31"/>
        <v>17215.133333333306</v>
      </c>
      <c r="AJ8" s="33">
        <f t="shared" si="32"/>
        <v>51245.33000000003</v>
      </c>
      <c r="AK8" s="33">
        <f t="shared" si="33"/>
        <v>21094.6</v>
      </c>
      <c r="AM8" s="33">
        <f t="shared" si="10"/>
        <v>507074.98597041005</v>
      </c>
      <c r="AN8" s="33">
        <f t="shared" si="11"/>
        <v>689390.85</v>
      </c>
      <c r="AO8" s="33">
        <f t="shared" si="12"/>
        <v>579251.5599999999</v>
      </c>
      <c r="AP8" s="33">
        <f t="shared" si="13"/>
        <v>627358.4950000001</v>
      </c>
      <c r="AQ8" s="33">
        <f t="shared" si="14"/>
        <v>620534.73601</v>
      </c>
      <c r="AR8" s="33">
        <f t="shared" si="15"/>
        <v>402617.5053571428</v>
      </c>
      <c r="AS8" s="33">
        <f t="shared" si="16"/>
        <v>545999.6733333333</v>
      </c>
      <c r="AT8" s="33">
        <f t="shared" si="17"/>
        <v>513347.96416666673</v>
      </c>
      <c r="AU8" s="33">
        <f t="shared" si="18"/>
        <v>375853.1144444445</v>
      </c>
      <c r="AV8" s="33">
        <f t="shared" si="19"/>
        <v>441119.0733333333</v>
      </c>
      <c r="AW8" s="33">
        <f t="shared" si="19"/>
        <v>360389.75</v>
      </c>
      <c r="AX8" s="33"/>
      <c r="AY8" s="33">
        <f t="shared" si="34"/>
        <v>182315.86402958992</v>
      </c>
      <c r="AZ8" s="33">
        <f t="shared" si="35"/>
        <v>72176.57402958989</v>
      </c>
      <c r="BA8" s="33">
        <f t="shared" si="36"/>
        <v>120283.50902959006</v>
      </c>
      <c r="BB8" s="33">
        <f t="shared" si="37"/>
        <v>113459.75003958994</v>
      </c>
      <c r="BC8" s="33">
        <f t="shared" si="38"/>
        <v>-104457.48061326722</v>
      </c>
      <c r="BD8" s="33">
        <f t="shared" si="39"/>
        <v>38924.68736292329</v>
      </c>
      <c r="BE8" s="33">
        <f t="shared" si="40"/>
        <v>6272.978196256678</v>
      </c>
      <c r="BF8" s="33">
        <f t="shared" si="41"/>
        <v>-131221.87152596557</v>
      </c>
      <c r="BG8" s="33">
        <f t="shared" si="21"/>
        <v>-65955.91263707675</v>
      </c>
      <c r="BH8" s="33">
        <f t="shared" si="21"/>
        <v>-146685.23597041005</v>
      </c>
      <c r="BI8" s="33"/>
      <c r="BJ8" s="33"/>
    </row>
    <row r="9" spans="1:62" ht="12.75">
      <c r="A9" s="32">
        <v>181.85</v>
      </c>
      <c r="B9" s="22">
        <v>32202</v>
      </c>
      <c r="C9" s="27">
        <f>Numbers!B64</f>
        <v>3274.402777777778</v>
      </c>
      <c r="D9" s="27">
        <f>Numbers!O64</f>
        <v>3955</v>
      </c>
      <c r="E9" s="27">
        <f>Numbers!N64</f>
        <v>3730</v>
      </c>
      <c r="F9" s="27">
        <f>Numbers!M64</f>
        <v>3841</v>
      </c>
      <c r="G9" s="27">
        <f>Numbers!L64</f>
        <v>4144</v>
      </c>
      <c r="H9" s="27">
        <f>Numbers!K64</f>
        <v>2727.5</v>
      </c>
      <c r="I9" s="27">
        <f>Numbers!J64</f>
        <v>3628</v>
      </c>
      <c r="J9" s="27">
        <f>Numbers!I64</f>
        <v>3358</v>
      </c>
      <c r="K9" s="27">
        <f>Numbers!H64</f>
        <v>2505.3333333333335</v>
      </c>
      <c r="L9" s="27">
        <f>Numbers!G64</f>
        <v>2739</v>
      </c>
      <c r="M9" s="27">
        <f>Numbers!F64</f>
        <v>2351</v>
      </c>
      <c r="O9" s="27">
        <f t="shared" si="22"/>
        <v>137.25231481481478</v>
      </c>
      <c r="P9" s="27">
        <f t="shared" si="0"/>
        <v>280</v>
      </c>
      <c r="Q9" s="27">
        <f t="shared" si="1"/>
        <v>70</v>
      </c>
      <c r="R9" s="27">
        <f t="shared" si="2"/>
        <v>137</v>
      </c>
      <c r="S9" s="27">
        <f t="shared" si="3"/>
        <v>160</v>
      </c>
      <c r="T9" s="27">
        <f t="shared" si="4"/>
        <v>82.25</v>
      </c>
      <c r="U9" s="27">
        <f t="shared" si="5"/>
        <v>155</v>
      </c>
      <c r="V9" s="27">
        <f t="shared" si="6"/>
        <v>92</v>
      </c>
      <c r="W9" s="27">
        <f t="shared" si="7"/>
        <v>99.77777777777783</v>
      </c>
      <c r="X9" s="27">
        <f t="shared" si="8"/>
        <v>118</v>
      </c>
      <c r="Y9" s="27">
        <f t="shared" si="8"/>
        <v>86</v>
      </c>
      <c r="AA9" s="33">
        <f t="shared" si="23"/>
        <v>24959.333449074067</v>
      </c>
      <c r="AB9" s="33">
        <f t="shared" si="24"/>
        <v>50918</v>
      </c>
      <c r="AC9" s="33">
        <f t="shared" si="25"/>
        <v>12729.5</v>
      </c>
      <c r="AD9" s="33">
        <f t="shared" si="26"/>
        <v>24913.45</v>
      </c>
      <c r="AE9" s="33">
        <f t="shared" si="27"/>
        <v>29096</v>
      </c>
      <c r="AF9" s="33">
        <f t="shared" si="28"/>
        <v>14957.1625</v>
      </c>
      <c r="AG9" s="33">
        <f t="shared" si="29"/>
        <v>28186.75</v>
      </c>
      <c r="AH9" s="33">
        <f t="shared" si="30"/>
        <v>16730.2</v>
      </c>
      <c r="AI9" s="33">
        <f t="shared" si="31"/>
        <v>18144.5888888889</v>
      </c>
      <c r="AJ9" s="33">
        <f t="shared" si="32"/>
        <v>21458.3</v>
      </c>
      <c r="AK9" s="33">
        <f t="shared" si="33"/>
        <v>15639.1</v>
      </c>
      <c r="AM9" s="33">
        <f t="shared" si="10"/>
        <v>470926.36915013223</v>
      </c>
      <c r="AN9" s="33">
        <f t="shared" si="11"/>
        <v>576643.85</v>
      </c>
      <c r="AO9" s="33">
        <f t="shared" si="12"/>
        <v>539608.2599999999</v>
      </c>
      <c r="AP9" s="33">
        <f t="shared" si="13"/>
        <v>548253.7450000001</v>
      </c>
      <c r="AQ9" s="33">
        <f t="shared" si="14"/>
        <v>610046.61</v>
      </c>
      <c r="AR9" s="33">
        <f t="shared" si="15"/>
        <v>387660.34285714285</v>
      </c>
      <c r="AS9" s="33">
        <f t="shared" si="16"/>
        <v>517812.9233333334</v>
      </c>
      <c r="AT9" s="33">
        <f t="shared" si="17"/>
        <v>490798.5641666667</v>
      </c>
      <c r="AU9" s="33">
        <f t="shared" si="18"/>
        <v>358637.9811111112</v>
      </c>
      <c r="AV9" s="33">
        <f t="shared" si="19"/>
        <v>389873.7433333333</v>
      </c>
      <c r="AW9" s="33">
        <f t="shared" si="19"/>
        <v>339295.15</v>
      </c>
      <c r="AX9" s="33"/>
      <c r="AY9" s="33">
        <f t="shared" si="34"/>
        <v>105717.48084986774</v>
      </c>
      <c r="AZ9" s="33">
        <f t="shared" si="35"/>
        <v>68681.89084986766</v>
      </c>
      <c r="BA9" s="33">
        <f t="shared" si="36"/>
        <v>77327.37584986788</v>
      </c>
      <c r="BB9" s="33">
        <f t="shared" si="37"/>
        <v>139120.24084986775</v>
      </c>
      <c r="BC9" s="33">
        <f t="shared" si="38"/>
        <v>-83266.02629298938</v>
      </c>
      <c r="BD9" s="33">
        <f t="shared" si="39"/>
        <v>46886.554183201166</v>
      </c>
      <c r="BE9" s="33">
        <f t="shared" si="40"/>
        <v>19872.195016534475</v>
      </c>
      <c r="BF9" s="33">
        <f t="shared" si="41"/>
        <v>-112288.38803902105</v>
      </c>
      <c r="BG9" s="33">
        <f t="shared" si="21"/>
        <v>-81052.62581679894</v>
      </c>
      <c r="BH9" s="33">
        <f t="shared" si="21"/>
        <v>-131631.2191501322</v>
      </c>
      <c r="BI9" s="33"/>
      <c r="BJ9" s="33"/>
    </row>
    <row r="10" spans="1:62" ht="12.75">
      <c r="A10" s="32">
        <v>178.21</v>
      </c>
      <c r="B10" s="22">
        <v>32174</v>
      </c>
      <c r="C10" s="27">
        <f>Numbers!B65</f>
        <v>3137.150462962963</v>
      </c>
      <c r="D10" s="27">
        <f>Numbers!O65</f>
        <v>3675</v>
      </c>
      <c r="E10" s="27">
        <f>Numbers!N65</f>
        <v>3660</v>
      </c>
      <c r="F10" s="27">
        <f>Numbers!M65</f>
        <v>3704</v>
      </c>
      <c r="G10" s="27">
        <f>Numbers!L65</f>
        <v>3984</v>
      </c>
      <c r="H10" s="27">
        <f>Numbers!K65</f>
        <v>2645.25</v>
      </c>
      <c r="I10" s="27">
        <f>Numbers!J65</f>
        <v>3473</v>
      </c>
      <c r="J10" s="27">
        <f>Numbers!I65</f>
        <v>3266</v>
      </c>
      <c r="K10" s="27">
        <f>Numbers!H65</f>
        <v>2405.5555555555557</v>
      </c>
      <c r="L10" s="27">
        <f>Numbers!G65</f>
        <v>2621</v>
      </c>
      <c r="M10" s="27">
        <f>Numbers!F65</f>
        <v>2265</v>
      </c>
      <c r="O10" s="27">
        <f t="shared" si="22"/>
        <v>157.90046296296305</v>
      </c>
      <c r="P10" s="27">
        <f t="shared" si="0"/>
        <v>240</v>
      </c>
      <c r="Q10" s="27">
        <f t="shared" si="1"/>
        <v>178</v>
      </c>
      <c r="R10" s="27">
        <f t="shared" si="2"/>
        <v>122</v>
      </c>
      <c r="S10" s="27">
        <f t="shared" si="3"/>
        <v>186</v>
      </c>
      <c r="T10" s="27">
        <f t="shared" si="4"/>
        <v>82.25</v>
      </c>
      <c r="U10" s="27">
        <f t="shared" si="5"/>
        <v>155</v>
      </c>
      <c r="V10" s="27">
        <f t="shared" si="6"/>
        <v>269</v>
      </c>
      <c r="W10" s="27">
        <f t="shared" si="7"/>
        <v>89.55555555555566</v>
      </c>
      <c r="X10" s="27">
        <f t="shared" si="8"/>
        <v>127</v>
      </c>
      <c r="Y10" s="27">
        <f t="shared" si="8"/>
        <v>118</v>
      </c>
      <c r="AA10" s="33">
        <f t="shared" si="23"/>
        <v>28139.441504629645</v>
      </c>
      <c r="AB10" s="33">
        <f t="shared" si="24"/>
        <v>42770.4</v>
      </c>
      <c r="AC10" s="33">
        <f t="shared" si="25"/>
        <v>31721.38</v>
      </c>
      <c r="AD10" s="33">
        <f t="shared" si="26"/>
        <v>21741.620000000003</v>
      </c>
      <c r="AE10" s="33">
        <f t="shared" si="27"/>
        <v>33147.060000000005</v>
      </c>
      <c r="AF10" s="33">
        <f t="shared" si="28"/>
        <v>14657.772500000001</v>
      </c>
      <c r="AG10" s="33">
        <f t="shared" si="29"/>
        <v>27622.550000000003</v>
      </c>
      <c r="AH10" s="33">
        <f t="shared" si="30"/>
        <v>47938.490000000005</v>
      </c>
      <c r="AI10" s="33">
        <f t="shared" si="31"/>
        <v>15959.695555555574</v>
      </c>
      <c r="AJ10" s="33">
        <f t="shared" si="32"/>
        <v>22632.670000000002</v>
      </c>
      <c r="AK10" s="33">
        <f t="shared" si="33"/>
        <v>21028.780000000002</v>
      </c>
      <c r="AM10" s="33">
        <f t="shared" si="10"/>
        <v>445967.03570105816</v>
      </c>
      <c r="AN10" s="33">
        <f t="shared" si="11"/>
        <v>525725.85</v>
      </c>
      <c r="AO10" s="33">
        <f t="shared" si="12"/>
        <v>526878.7599999999</v>
      </c>
      <c r="AP10" s="33">
        <f t="shared" si="13"/>
        <v>523340.2950000001</v>
      </c>
      <c r="AQ10" s="33">
        <f t="shared" si="14"/>
        <v>580950.61</v>
      </c>
      <c r="AR10" s="33">
        <f t="shared" si="15"/>
        <v>372703.1803571429</v>
      </c>
      <c r="AS10" s="33">
        <f t="shared" si="16"/>
        <v>489626.1733333334</v>
      </c>
      <c r="AT10" s="33">
        <f t="shared" si="17"/>
        <v>474068.3641666667</v>
      </c>
      <c r="AU10" s="33">
        <f t="shared" si="18"/>
        <v>340493.3922222223</v>
      </c>
      <c r="AV10" s="33">
        <f t="shared" si="19"/>
        <v>368415.4433333333</v>
      </c>
      <c r="AW10" s="33">
        <f t="shared" si="19"/>
        <v>323656.05000000005</v>
      </c>
      <c r="AX10" s="33"/>
      <c r="AY10" s="33">
        <f t="shared" si="34"/>
        <v>79758.81429894181</v>
      </c>
      <c r="AZ10" s="33">
        <f t="shared" si="35"/>
        <v>80911.72429894173</v>
      </c>
      <c r="BA10" s="33">
        <f t="shared" si="36"/>
        <v>77373.25929894194</v>
      </c>
      <c r="BB10" s="33">
        <f t="shared" si="37"/>
        <v>134983.57429894182</v>
      </c>
      <c r="BC10" s="33">
        <f t="shared" si="38"/>
        <v>-73263.85534391529</v>
      </c>
      <c r="BD10" s="33">
        <f t="shared" si="39"/>
        <v>43659.13763227523</v>
      </c>
      <c r="BE10" s="33">
        <f t="shared" si="40"/>
        <v>28101.32846560853</v>
      </c>
      <c r="BF10" s="33">
        <f t="shared" si="41"/>
        <v>-105473.64347883587</v>
      </c>
      <c r="BG10" s="33">
        <f t="shared" si="21"/>
        <v>-77551.59236772486</v>
      </c>
      <c r="BH10" s="33">
        <f t="shared" si="21"/>
        <v>-122310.98570105812</v>
      </c>
      <c r="BI10" s="33"/>
      <c r="BJ10" s="33"/>
    </row>
    <row r="11" spans="1:62" ht="12.75">
      <c r="A11" s="32">
        <v>178.21</v>
      </c>
      <c r="B11" s="22">
        <v>32143</v>
      </c>
      <c r="C11" s="27">
        <f>Numbers!B66</f>
        <v>2979.25</v>
      </c>
      <c r="D11" s="27">
        <f>Numbers!O66</f>
        <v>3435</v>
      </c>
      <c r="E11" s="27">
        <f>Numbers!N66</f>
        <v>3482</v>
      </c>
      <c r="F11" s="27">
        <f>Numbers!M66</f>
        <v>3582</v>
      </c>
      <c r="G11" s="27">
        <f>Numbers!L66</f>
        <v>3798</v>
      </c>
      <c r="H11" s="27">
        <f>Numbers!K66</f>
        <v>2563</v>
      </c>
      <c r="I11" s="27">
        <f>Numbers!J66</f>
        <v>3318</v>
      </c>
      <c r="J11" s="27">
        <f>Numbers!I66</f>
        <v>2997</v>
      </c>
      <c r="K11" s="27">
        <f>Numbers!H66</f>
        <v>2316</v>
      </c>
      <c r="L11" s="27">
        <f>Numbers!G66</f>
        <v>2494</v>
      </c>
      <c r="M11" s="27">
        <f>Numbers!F66</f>
        <v>2147</v>
      </c>
      <c r="O11" s="27">
        <f t="shared" si="22"/>
        <v>140.875</v>
      </c>
      <c r="P11" s="27">
        <f t="shared" si="0"/>
        <v>90</v>
      </c>
      <c r="Q11" s="27">
        <f t="shared" si="1"/>
        <v>305</v>
      </c>
      <c r="R11" s="27">
        <f t="shared" si="2"/>
        <v>93</v>
      </c>
      <c r="S11" s="27">
        <f t="shared" si="3"/>
        <v>213</v>
      </c>
      <c r="T11" s="27">
        <f t="shared" si="4"/>
        <v>99.5</v>
      </c>
      <c r="U11" s="27">
        <f t="shared" si="5"/>
        <v>155</v>
      </c>
      <c r="V11" s="27">
        <f t="shared" si="6"/>
        <v>222</v>
      </c>
      <c r="W11" s="27">
        <f t="shared" si="7"/>
        <v>110</v>
      </c>
      <c r="X11" s="27">
        <f t="shared" si="8"/>
        <v>140</v>
      </c>
      <c r="Y11" s="27">
        <f t="shared" si="8"/>
        <v>73</v>
      </c>
      <c r="AA11" s="33">
        <f t="shared" si="23"/>
        <v>25105.33375</v>
      </c>
      <c r="AB11" s="33">
        <f t="shared" si="24"/>
        <v>16038.900000000001</v>
      </c>
      <c r="AC11" s="33">
        <f t="shared" si="25"/>
        <v>54354.05</v>
      </c>
      <c r="AD11" s="33">
        <f t="shared" si="26"/>
        <v>16573.530000000002</v>
      </c>
      <c r="AE11" s="33">
        <f t="shared" si="27"/>
        <v>37958.73</v>
      </c>
      <c r="AF11" s="33">
        <f t="shared" si="28"/>
        <v>17731.895</v>
      </c>
      <c r="AG11" s="33">
        <f t="shared" si="29"/>
        <v>27622.550000000003</v>
      </c>
      <c r="AH11" s="33">
        <f t="shared" si="30"/>
        <v>39562.62</v>
      </c>
      <c r="AI11" s="33">
        <f t="shared" si="31"/>
        <v>19603.100000000002</v>
      </c>
      <c r="AJ11" s="33">
        <f t="shared" si="32"/>
        <v>24949.4</v>
      </c>
      <c r="AK11" s="33">
        <f t="shared" si="33"/>
        <v>13009.33</v>
      </c>
      <c r="AM11" s="33">
        <f t="shared" si="10"/>
        <v>417827.59419642854</v>
      </c>
      <c r="AN11" s="33">
        <f t="shared" si="11"/>
        <v>482955.44999999995</v>
      </c>
      <c r="AO11" s="33">
        <f t="shared" si="12"/>
        <v>495157.3799999999</v>
      </c>
      <c r="AP11" s="33">
        <f t="shared" si="13"/>
        <v>501598.6750000001</v>
      </c>
      <c r="AQ11" s="33">
        <f t="shared" si="14"/>
        <v>547803.5499999999</v>
      </c>
      <c r="AR11" s="33">
        <f t="shared" si="15"/>
        <v>358045.40785714285</v>
      </c>
      <c r="AS11" s="33">
        <f t="shared" si="16"/>
        <v>462003.6233333334</v>
      </c>
      <c r="AT11" s="33">
        <f t="shared" si="17"/>
        <v>426129.8741666667</v>
      </c>
      <c r="AU11" s="33">
        <f t="shared" si="18"/>
        <v>324533.6966666667</v>
      </c>
      <c r="AV11" s="33">
        <f t="shared" si="19"/>
        <v>345782.7733333333</v>
      </c>
      <c r="AW11" s="33">
        <f t="shared" si="19"/>
        <v>302627.27</v>
      </c>
      <c r="AX11" s="33"/>
      <c r="AY11" s="33">
        <f t="shared" si="34"/>
        <v>65127.85580357141</v>
      </c>
      <c r="AZ11" s="33">
        <f t="shared" si="35"/>
        <v>77329.78580357134</v>
      </c>
      <c r="BA11" s="33">
        <f t="shared" si="36"/>
        <v>83771.08080357156</v>
      </c>
      <c r="BB11" s="33">
        <f t="shared" si="37"/>
        <v>129975.95580357139</v>
      </c>
      <c r="BC11" s="33">
        <f t="shared" si="38"/>
        <v>-59782.18633928569</v>
      </c>
      <c r="BD11" s="33">
        <f t="shared" si="39"/>
        <v>44176.029136904865</v>
      </c>
      <c r="BE11" s="33">
        <f t="shared" si="40"/>
        <v>8302.27997023816</v>
      </c>
      <c r="BF11" s="33">
        <f t="shared" si="41"/>
        <v>-93293.89752976183</v>
      </c>
      <c r="BG11" s="33">
        <f t="shared" si="21"/>
        <v>-72044.82086309523</v>
      </c>
      <c r="BH11" s="33">
        <f t="shared" si="21"/>
        <v>-115200.32419642853</v>
      </c>
      <c r="BI11" s="33"/>
      <c r="BJ11" s="33"/>
    </row>
    <row r="12" spans="1:62" ht="12.75">
      <c r="A12" s="32">
        <v>171.14</v>
      </c>
      <c r="B12" s="26">
        <v>32112</v>
      </c>
      <c r="C12" s="27">
        <f>Numbers!B67</f>
        <v>2838.375</v>
      </c>
      <c r="D12" s="27">
        <f>Numbers!O67</f>
        <v>3345</v>
      </c>
      <c r="E12" s="27">
        <f>Numbers!N67</f>
        <v>3177</v>
      </c>
      <c r="F12" s="27">
        <f>Numbers!M67</f>
        <v>3489</v>
      </c>
      <c r="G12" s="27">
        <f>Numbers!L67</f>
        <v>3585</v>
      </c>
      <c r="H12" s="27">
        <f>Numbers!K67</f>
        <v>2463.5</v>
      </c>
      <c r="I12" s="27">
        <f>Numbers!J67</f>
        <v>3163</v>
      </c>
      <c r="J12" s="27">
        <f>Numbers!I67</f>
        <v>2775</v>
      </c>
      <c r="K12" s="27">
        <f>Numbers!H67</f>
        <v>2206</v>
      </c>
      <c r="L12" s="27">
        <f>Numbers!G67</f>
        <v>2354</v>
      </c>
      <c r="M12" s="27">
        <f>Numbers!F67</f>
        <v>2074</v>
      </c>
      <c r="O12" s="27">
        <f t="shared" si="22"/>
        <v>134.45833333333348</v>
      </c>
      <c r="P12" s="27">
        <f t="shared" si="0"/>
        <v>90</v>
      </c>
      <c r="Q12" s="27">
        <f t="shared" si="1"/>
        <v>343</v>
      </c>
      <c r="R12" s="27">
        <f t="shared" si="2"/>
        <v>55</v>
      </c>
      <c r="S12" s="27">
        <f t="shared" si="3"/>
        <v>92</v>
      </c>
      <c r="T12" s="27">
        <f t="shared" si="4"/>
        <v>99.5</v>
      </c>
      <c r="U12" s="27">
        <f t="shared" si="5"/>
        <v>150</v>
      </c>
      <c r="V12" s="27">
        <f t="shared" si="6"/>
        <v>110</v>
      </c>
      <c r="W12" s="27">
        <f t="shared" si="7"/>
        <v>110</v>
      </c>
      <c r="X12" s="27">
        <f t="shared" si="8"/>
        <v>230</v>
      </c>
      <c r="Y12" s="27">
        <f t="shared" si="8"/>
        <v>97</v>
      </c>
      <c r="AA12" s="33">
        <f t="shared" si="23"/>
        <v>23011.19916666669</v>
      </c>
      <c r="AB12" s="33">
        <f t="shared" si="24"/>
        <v>15402.599999999999</v>
      </c>
      <c r="AC12" s="33">
        <f t="shared" si="25"/>
        <v>58701.02</v>
      </c>
      <c r="AD12" s="33">
        <f t="shared" si="26"/>
        <v>9412.699999999999</v>
      </c>
      <c r="AE12" s="33">
        <f t="shared" si="27"/>
        <v>15744.88</v>
      </c>
      <c r="AF12" s="33">
        <f t="shared" si="28"/>
        <v>17028.43</v>
      </c>
      <c r="AG12" s="33">
        <f t="shared" si="29"/>
        <v>25670.999999999996</v>
      </c>
      <c r="AH12" s="33">
        <f t="shared" si="30"/>
        <v>18825.399999999998</v>
      </c>
      <c r="AI12" s="33">
        <f t="shared" si="31"/>
        <v>18825.399999999998</v>
      </c>
      <c r="AJ12" s="33">
        <f t="shared" si="32"/>
        <v>39362.2</v>
      </c>
      <c r="AK12" s="33">
        <f t="shared" si="33"/>
        <v>16600.579999999998</v>
      </c>
      <c r="AM12" s="33">
        <f t="shared" si="10"/>
        <v>392722.26044642855</v>
      </c>
      <c r="AN12" s="33">
        <f t="shared" si="11"/>
        <v>466916.54999999993</v>
      </c>
      <c r="AO12" s="33">
        <f t="shared" si="12"/>
        <v>440803.3299999999</v>
      </c>
      <c r="AP12" s="33">
        <f t="shared" si="13"/>
        <v>485025.1450000001</v>
      </c>
      <c r="AQ12" s="33">
        <f t="shared" si="14"/>
        <v>509844.81999999995</v>
      </c>
      <c r="AR12" s="33">
        <f t="shared" si="15"/>
        <v>340313.51285714284</v>
      </c>
      <c r="AS12" s="33">
        <f t="shared" si="16"/>
        <v>434381.0733333334</v>
      </c>
      <c r="AT12" s="33">
        <f t="shared" si="17"/>
        <v>386567.2541666667</v>
      </c>
      <c r="AU12" s="33">
        <f t="shared" si="18"/>
        <v>304930.59666666674</v>
      </c>
      <c r="AV12" s="33">
        <f t="shared" si="19"/>
        <v>320833.3733333333</v>
      </c>
      <c r="AW12" s="33">
        <f t="shared" si="19"/>
        <v>289617.94</v>
      </c>
      <c r="AX12" s="33"/>
      <c r="AY12" s="33">
        <f t="shared" si="34"/>
        <v>74194.28955357138</v>
      </c>
      <c r="AZ12" s="33">
        <f t="shared" si="35"/>
        <v>48081.069553571346</v>
      </c>
      <c r="BA12" s="33">
        <f t="shared" si="36"/>
        <v>92302.88455357152</v>
      </c>
      <c r="BB12" s="33">
        <f t="shared" si="37"/>
        <v>117122.5595535714</v>
      </c>
      <c r="BC12" s="33">
        <f t="shared" si="38"/>
        <v>-52408.74758928572</v>
      </c>
      <c r="BD12" s="33">
        <f t="shared" si="39"/>
        <v>41658.81288690487</v>
      </c>
      <c r="BE12" s="33">
        <f t="shared" si="40"/>
        <v>-6155.006279761845</v>
      </c>
      <c r="BF12" s="33">
        <f t="shared" si="41"/>
        <v>-87791.66377976182</v>
      </c>
      <c r="BG12" s="33">
        <f t="shared" si="21"/>
        <v>-71888.88711309526</v>
      </c>
      <c r="BH12" s="33">
        <f t="shared" si="21"/>
        <v>-103104.32044642855</v>
      </c>
      <c r="BI12" s="33"/>
      <c r="BJ12" s="33"/>
    </row>
    <row r="13" spans="1:62" ht="12.75">
      <c r="A13" s="32">
        <v>171.14</v>
      </c>
      <c r="B13" s="22">
        <v>32082</v>
      </c>
      <c r="C13" s="27">
        <f>Numbers!B68</f>
        <v>2703.9166666666665</v>
      </c>
      <c r="D13" s="27">
        <f>Numbers!O68</f>
        <v>3255</v>
      </c>
      <c r="E13" s="27">
        <f>Numbers!N68</f>
        <v>2834</v>
      </c>
      <c r="F13" s="27">
        <f>Numbers!M68</f>
        <v>3434</v>
      </c>
      <c r="G13" s="27">
        <f>Numbers!L68</f>
        <v>3493</v>
      </c>
      <c r="H13" s="27">
        <f>Numbers!K68</f>
        <v>2364</v>
      </c>
      <c r="I13" s="27">
        <f>Numbers!J68</f>
        <v>3013</v>
      </c>
      <c r="J13" s="27">
        <f>Numbers!I68</f>
        <v>2665</v>
      </c>
      <c r="K13" s="27">
        <f>Numbers!H68</f>
        <v>2096</v>
      </c>
      <c r="L13" s="27">
        <f>Numbers!G68</f>
        <v>2124</v>
      </c>
      <c r="M13" s="27">
        <f>Numbers!F68</f>
        <v>1977</v>
      </c>
      <c r="O13" s="27">
        <f t="shared" si="22"/>
        <v>74.41666666666652</v>
      </c>
      <c r="P13" s="27">
        <f t="shared" si="0"/>
        <v>120</v>
      </c>
      <c r="Q13" s="27">
        <f t="shared" si="1"/>
        <v>48</v>
      </c>
      <c r="R13" s="27">
        <f t="shared" si="2"/>
        <v>60</v>
      </c>
      <c r="S13" s="27">
        <f t="shared" si="3"/>
        <v>158</v>
      </c>
      <c r="T13" s="27">
        <f t="shared" si="4"/>
        <v>42</v>
      </c>
      <c r="U13" s="27">
        <f t="shared" si="5"/>
        <v>50</v>
      </c>
      <c r="V13" s="27">
        <f t="shared" si="6"/>
        <v>81</v>
      </c>
      <c r="W13" s="27">
        <f t="shared" si="7"/>
        <v>110</v>
      </c>
      <c r="X13" s="27">
        <f t="shared" si="8"/>
        <v>130</v>
      </c>
      <c r="Y13" s="27">
        <f t="shared" si="8"/>
        <v>83</v>
      </c>
      <c r="AA13" s="33">
        <f t="shared" si="23"/>
        <v>12735.668333333306</v>
      </c>
      <c r="AB13" s="33">
        <f t="shared" si="24"/>
        <v>20536.8</v>
      </c>
      <c r="AC13" s="33">
        <f t="shared" si="25"/>
        <v>8214.72</v>
      </c>
      <c r="AD13" s="33">
        <f t="shared" si="26"/>
        <v>10268.4</v>
      </c>
      <c r="AE13" s="33">
        <f t="shared" si="27"/>
        <v>27040.12</v>
      </c>
      <c r="AF13" s="33">
        <f t="shared" si="28"/>
        <v>7187.879999999999</v>
      </c>
      <c r="AG13" s="33">
        <f t="shared" si="29"/>
        <v>8557</v>
      </c>
      <c r="AH13" s="33">
        <f t="shared" si="30"/>
        <v>13862.339999999998</v>
      </c>
      <c r="AI13" s="33">
        <f t="shared" si="31"/>
        <v>18825.399999999998</v>
      </c>
      <c r="AJ13" s="33">
        <f t="shared" si="32"/>
        <v>22248.199999999997</v>
      </c>
      <c r="AK13" s="33">
        <f t="shared" si="33"/>
        <v>14204.619999999999</v>
      </c>
      <c r="AM13" s="33">
        <f t="shared" si="10"/>
        <v>369711.06127976184</v>
      </c>
      <c r="AN13" s="33">
        <f t="shared" si="11"/>
        <v>451513.94999999995</v>
      </c>
      <c r="AO13" s="33">
        <f t="shared" si="12"/>
        <v>382102.3099999999</v>
      </c>
      <c r="AP13" s="33">
        <f t="shared" si="13"/>
        <v>475612.44500000007</v>
      </c>
      <c r="AQ13" s="33">
        <f t="shared" si="14"/>
        <v>494099.93999999994</v>
      </c>
      <c r="AR13" s="33">
        <f t="shared" si="15"/>
        <v>323285.08285714284</v>
      </c>
      <c r="AS13" s="33">
        <f t="shared" si="16"/>
        <v>408710.0733333334</v>
      </c>
      <c r="AT13" s="33">
        <f t="shared" si="17"/>
        <v>367741.8541666667</v>
      </c>
      <c r="AU13" s="33">
        <f t="shared" si="18"/>
        <v>286105.1966666667</v>
      </c>
      <c r="AV13" s="33">
        <f t="shared" si="19"/>
        <v>281471.1733333333</v>
      </c>
      <c r="AW13" s="33">
        <f t="shared" si="19"/>
        <v>273017.36</v>
      </c>
      <c r="AX13" s="33"/>
      <c r="AY13" s="33">
        <f t="shared" si="34"/>
        <v>81802.88872023812</v>
      </c>
      <c r="AZ13" s="33">
        <f t="shared" si="35"/>
        <v>12391.248720238043</v>
      </c>
      <c r="BA13" s="33">
        <f t="shared" si="36"/>
        <v>105901.38372023823</v>
      </c>
      <c r="BB13" s="33">
        <f t="shared" si="37"/>
        <v>124388.8787202381</v>
      </c>
      <c r="BC13" s="33">
        <f t="shared" si="38"/>
        <v>-46425.978422618995</v>
      </c>
      <c r="BD13" s="33">
        <f t="shared" si="39"/>
        <v>38999.01205357158</v>
      </c>
      <c r="BE13" s="33">
        <f t="shared" si="40"/>
        <v>-1969.2071130951517</v>
      </c>
      <c r="BF13" s="33">
        <f t="shared" si="41"/>
        <v>-83605.86461309512</v>
      </c>
      <c r="BG13" s="33">
        <f t="shared" si="21"/>
        <v>-88239.88794642856</v>
      </c>
      <c r="BH13" s="33">
        <f t="shared" si="21"/>
        <v>-96693.70127976185</v>
      </c>
      <c r="BI13" s="33"/>
      <c r="BJ13" s="33"/>
    </row>
    <row r="14" spans="1:62" ht="12.75">
      <c r="A14" s="32">
        <v>171.14</v>
      </c>
      <c r="B14" s="22">
        <v>32051</v>
      </c>
      <c r="C14" s="27">
        <f>Numbers!B69</f>
        <v>2629.5</v>
      </c>
      <c r="D14" s="27">
        <f>Numbers!O69</f>
        <v>3135</v>
      </c>
      <c r="E14" s="27">
        <f>Numbers!N69</f>
        <v>2786</v>
      </c>
      <c r="F14" s="27">
        <f>Numbers!M69</f>
        <v>3374</v>
      </c>
      <c r="G14" s="27">
        <f>Numbers!L69</f>
        <v>3335</v>
      </c>
      <c r="H14" s="27">
        <f>Numbers!K69</f>
        <v>2322</v>
      </c>
      <c r="I14" s="27">
        <f>Numbers!J69</f>
        <v>2963</v>
      </c>
      <c r="J14" s="27">
        <f>Numbers!I69</f>
        <v>2584</v>
      </c>
      <c r="K14" s="27">
        <f>Numbers!H69</f>
        <v>1986</v>
      </c>
      <c r="L14" s="27">
        <f>Numbers!G69</f>
        <v>1994</v>
      </c>
      <c r="M14" s="27">
        <f>Numbers!F69</f>
        <v>1894</v>
      </c>
      <c r="O14" s="27">
        <f t="shared" si="22"/>
        <v>323.25</v>
      </c>
      <c r="P14" s="27">
        <f t="shared" si="0"/>
        <v>640</v>
      </c>
      <c r="Q14" s="27">
        <f t="shared" si="1"/>
        <v>104</v>
      </c>
      <c r="R14" s="27">
        <f t="shared" si="2"/>
        <v>628</v>
      </c>
      <c r="S14" s="27">
        <f t="shared" si="3"/>
        <v>578</v>
      </c>
      <c r="T14" s="27">
        <f t="shared" si="4"/>
        <v>474</v>
      </c>
      <c r="U14" s="27">
        <f t="shared" si="5"/>
        <v>346</v>
      </c>
      <c r="V14" s="27">
        <f t="shared" si="6"/>
        <v>151</v>
      </c>
      <c r="W14" s="27">
        <f t="shared" si="7"/>
        <v>110</v>
      </c>
      <c r="X14" s="27">
        <f t="shared" si="8"/>
        <v>31</v>
      </c>
      <c r="Y14" s="27">
        <f t="shared" si="8"/>
        <v>320</v>
      </c>
      <c r="AA14" s="33">
        <f t="shared" si="23"/>
        <v>55321.005</v>
      </c>
      <c r="AB14" s="33">
        <f t="shared" si="24"/>
        <v>109529.59999999999</v>
      </c>
      <c r="AC14" s="33">
        <f t="shared" si="25"/>
        <v>17798.559999999998</v>
      </c>
      <c r="AD14" s="33">
        <f t="shared" si="26"/>
        <v>107475.92</v>
      </c>
      <c r="AE14" s="33">
        <f t="shared" si="27"/>
        <v>98918.92</v>
      </c>
      <c r="AF14" s="33">
        <f t="shared" si="28"/>
        <v>81120.36</v>
      </c>
      <c r="AG14" s="33">
        <f t="shared" si="29"/>
        <v>59214.439999999995</v>
      </c>
      <c r="AH14" s="33">
        <f t="shared" si="30"/>
        <v>25842.14</v>
      </c>
      <c r="AI14" s="33">
        <f t="shared" si="31"/>
        <v>18825.399999999998</v>
      </c>
      <c r="AJ14" s="33">
        <f t="shared" si="32"/>
        <v>5305.339999999999</v>
      </c>
      <c r="AK14" s="33">
        <f t="shared" si="33"/>
        <v>54764.799999999996</v>
      </c>
      <c r="AM14" s="33">
        <f t="shared" si="10"/>
        <v>356975.39294642856</v>
      </c>
      <c r="AN14" s="33">
        <f t="shared" si="11"/>
        <v>430977.14999999997</v>
      </c>
      <c r="AO14" s="33">
        <f t="shared" si="12"/>
        <v>373887.5899999999</v>
      </c>
      <c r="AP14" s="33">
        <f t="shared" si="13"/>
        <v>465344.04500000004</v>
      </c>
      <c r="AQ14" s="33">
        <f t="shared" si="14"/>
        <v>467059.81999999995</v>
      </c>
      <c r="AR14" s="33">
        <f t="shared" si="15"/>
        <v>316097.20285714284</v>
      </c>
      <c r="AS14" s="33">
        <f t="shared" si="16"/>
        <v>400153.0733333334</v>
      </c>
      <c r="AT14" s="33">
        <f t="shared" si="17"/>
        <v>353879.51416666666</v>
      </c>
      <c r="AU14" s="33">
        <f t="shared" si="18"/>
        <v>267279.7966666667</v>
      </c>
      <c r="AV14" s="33">
        <f t="shared" si="19"/>
        <v>259222.9733333333</v>
      </c>
      <c r="AW14" s="33">
        <f t="shared" si="19"/>
        <v>258812.74</v>
      </c>
      <c r="AX14" s="33"/>
      <c r="AY14" s="33">
        <f t="shared" si="34"/>
        <v>74001.7570535714</v>
      </c>
      <c r="AZ14" s="33">
        <f t="shared" si="35"/>
        <v>16912.197053571348</v>
      </c>
      <c r="BA14" s="33">
        <f t="shared" si="36"/>
        <v>108368.65205357148</v>
      </c>
      <c r="BB14" s="33">
        <f t="shared" si="37"/>
        <v>110084.42705357139</v>
      </c>
      <c r="BC14" s="33">
        <f t="shared" si="38"/>
        <v>-40878.19008928572</v>
      </c>
      <c r="BD14" s="33">
        <f t="shared" si="39"/>
        <v>43177.68038690486</v>
      </c>
      <c r="BE14" s="33">
        <f t="shared" si="40"/>
        <v>-3095.8787797619007</v>
      </c>
      <c r="BF14" s="33">
        <f t="shared" si="41"/>
        <v>-89695.59627976187</v>
      </c>
      <c r="BG14" s="33">
        <f t="shared" si="21"/>
        <v>-97752.41961309526</v>
      </c>
      <c r="BH14" s="33">
        <f t="shared" si="21"/>
        <v>-98162.65294642857</v>
      </c>
      <c r="BI14" s="33"/>
      <c r="BJ14" s="33"/>
    </row>
    <row r="15" spans="1:62" ht="12.75">
      <c r="A15" s="32">
        <v>165.51</v>
      </c>
      <c r="B15" s="22">
        <v>32021</v>
      </c>
      <c r="C15" s="27">
        <f>Numbers!B70</f>
        <v>2306.25</v>
      </c>
      <c r="D15" s="27">
        <f>Numbers!O70</f>
        <v>2495</v>
      </c>
      <c r="E15" s="27">
        <f>Numbers!N70</f>
        <v>2682</v>
      </c>
      <c r="F15" s="27">
        <f>Numbers!M70</f>
        <v>2746</v>
      </c>
      <c r="G15" s="27">
        <f>Numbers!L70</f>
        <v>2757</v>
      </c>
      <c r="H15" s="27">
        <f>Numbers!K70</f>
        <v>1848</v>
      </c>
      <c r="I15" s="27">
        <f>Numbers!J70</f>
        <v>2617</v>
      </c>
      <c r="J15" s="27">
        <f>Numbers!I70</f>
        <v>2433</v>
      </c>
      <c r="K15" s="27">
        <f>Numbers!H70</f>
        <v>1876</v>
      </c>
      <c r="L15" s="27">
        <f>Numbers!G70</f>
        <v>1963</v>
      </c>
      <c r="M15" s="27">
        <f>Numbers!F70</f>
        <v>1574</v>
      </c>
      <c r="O15" s="27">
        <f t="shared" si="22"/>
        <v>52.416666666666515</v>
      </c>
      <c r="P15" s="27">
        <f t="shared" si="0"/>
        <v>60</v>
      </c>
      <c r="Q15" s="27">
        <f t="shared" si="1"/>
        <v>35</v>
      </c>
      <c r="R15" s="27">
        <f t="shared" si="2"/>
        <v>25</v>
      </c>
      <c r="S15" s="27">
        <f t="shared" si="3"/>
        <v>63</v>
      </c>
      <c r="T15" s="27">
        <f t="shared" si="4"/>
        <v>39.333333333333485</v>
      </c>
      <c r="U15" s="27">
        <f t="shared" si="5"/>
        <v>46.666666666666515</v>
      </c>
      <c r="V15" s="27">
        <f t="shared" si="6"/>
        <v>31</v>
      </c>
      <c r="W15" s="27">
        <f t="shared" si="7"/>
        <v>110</v>
      </c>
      <c r="X15" s="27">
        <f t="shared" si="8"/>
        <v>31</v>
      </c>
      <c r="Y15" s="27">
        <f t="shared" si="8"/>
        <v>45</v>
      </c>
      <c r="AA15" s="33">
        <f t="shared" si="23"/>
        <v>8675.482499999975</v>
      </c>
      <c r="AB15" s="33">
        <f t="shared" si="24"/>
        <v>9930.599999999999</v>
      </c>
      <c r="AC15" s="33">
        <f t="shared" si="25"/>
        <v>5792.849999999999</v>
      </c>
      <c r="AD15" s="33">
        <f t="shared" si="26"/>
        <v>4137.75</v>
      </c>
      <c r="AE15" s="33">
        <f t="shared" si="27"/>
        <v>10427.13</v>
      </c>
      <c r="AF15" s="33">
        <f t="shared" si="28"/>
        <v>6510.060000000025</v>
      </c>
      <c r="AG15" s="33">
        <f t="shared" si="29"/>
        <v>7723.799999999975</v>
      </c>
      <c r="AH15" s="33">
        <f t="shared" si="30"/>
        <v>5130.8099999999995</v>
      </c>
      <c r="AI15" s="33">
        <f t="shared" si="31"/>
        <v>18206.1</v>
      </c>
      <c r="AJ15" s="33">
        <f t="shared" si="32"/>
        <v>5130.8099999999995</v>
      </c>
      <c r="AK15" s="33">
        <f t="shared" si="33"/>
        <v>7447.95</v>
      </c>
      <c r="AM15" s="33">
        <f t="shared" si="10"/>
        <v>301654.38794642856</v>
      </c>
      <c r="AN15" s="33">
        <f t="shared" si="11"/>
        <v>321447.55</v>
      </c>
      <c r="AO15" s="33">
        <f t="shared" si="12"/>
        <v>356089.0299999999</v>
      </c>
      <c r="AP15" s="33">
        <f t="shared" si="13"/>
        <v>357868.12500000006</v>
      </c>
      <c r="AQ15" s="33">
        <f t="shared" si="14"/>
        <v>368140.89999999997</v>
      </c>
      <c r="AR15" s="33">
        <f t="shared" si="15"/>
        <v>234976.84285714285</v>
      </c>
      <c r="AS15" s="33">
        <f t="shared" si="16"/>
        <v>340938.6333333334</v>
      </c>
      <c r="AT15" s="33">
        <f t="shared" si="17"/>
        <v>328037.37416666665</v>
      </c>
      <c r="AU15" s="33">
        <f t="shared" si="18"/>
        <v>248454.3966666667</v>
      </c>
      <c r="AV15" s="33">
        <f t="shared" si="19"/>
        <v>253917.6333333333</v>
      </c>
      <c r="AW15" s="33">
        <f t="shared" si="19"/>
        <v>204047.94</v>
      </c>
      <c r="AX15" s="33"/>
      <c r="AY15" s="33">
        <f t="shared" si="34"/>
        <v>19793.162053571432</v>
      </c>
      <c r="AZ15" s="33">
        <f t="shared" si="35"/>
        <v>54434.642053571355</v>
      </c>
      <c r="BA15" s="33">
        <f t="shared" si="36"/>
        <v>56213.7370535715</v>
      </c>
      <c r="BB15" s="33">
        <f t="shared" si="37"/>
        <v>66486.51205357141</v>
      </c>
      <c r="BC15" s="33">
        <f t="shared" si="38"/>
        <v>-66677.5450892857</v>
      </c>
      <c r="BD15" s="33">
        <f t="shared" si="39"/>
        <v>39284.24538690486</v>
      </c>
      <c r="BE15" s="33">
        <f t="shared" si="40"/>
        <v>26382.98622023809</v>
      </c>
      <c r="BF15" s="33">
        <f t="shared" si="41"/>
        <v>-53199.99127976186</v>
      </c>
      <c r="BG15" s="33">
        <f t="shared" si="21"/>
        <v>-47736.754613095254</v>
      </c>
      <c r="BH15" s="33">
        <f t="shared" si="21"/>
        <v>-97606.44794642855</v>
      </c>
      <c r="BI15" s="33"/>
      <c r="BJ15" s="33"/>
    </row>
    <row r="16" spans="1:62" ht="12.75">
      <c r="A16" s="32">
        <v>161.87</v>
      </c>
      <c r="B16" s="22">
        <v>31990</v>
      </c>
      <c r="C16" s="27">
        <f>Numbers!B71</f>
        <v>2253.8333333333335</v>
      </c>
      <c r="D16" s="27">
        <f>Numbers!O71</f>
        <v>2435</v>
      </c>
      <c r="E16" s="27">
        <f>Numbers!N71</f>
        <v>2647</v>
      </c>
      <c r="F16" s="27">
        <f>Numbers!M71</f>
        <v>2721</v>
      </c>
      <c r="G16" s="27">
        <f>Numbers!L71</f>
        <v>2694</v>
      </c>
      <c r="H16" s="27">
        <f>Numbers!K71</f>
        <v>1808.6666666666665</v>
      </c>
      <c r="I16" s="27">
        <f>Numbers!J71</f>
        <v>2570.3333333333335</v>
      </c>
      <c r="J16" s="27">
        <f>Numbers!I71</f>
        <v>2402</v>
      </c>
      <c r="K16" s="27">
        <f>Numbers!H71</f>
        <v>1766</v>
      </c>
      <c r="L16" s="27">
        <f>Numbers!G71</f>
        <v>1932</v>
      </c>
      <c r="M16" s="27">
        <f>Numbers!F71</f>
        <v>1529</v>
      </c>
      <c r="O16" s="27">
        <f t="shared" si="22"/>
        <v>79.125</v>
      </c>
      <c r="P16" s="27">
        <f t="shared" si="0"/>
        <v>120</v>
      </c>
      <c r="Q16" s="27">
        <f t="shared" si="1"/>
        <v>238</v>
      </c>
      <c r="R16" s="27">
        <f t="shared" si="2"/>
        <v>44.5</v>
      </c>
      <c r="S16" s="27">
        <f t="shared" si="3"/>
        <v>52</v>
      </c>
      <c r="T16" s="27">
        <f t="shared" si="4"/>
        <v>39.33333333333303</v>
      </c>
      <c r="U16" s="27">
        <f t="shared" si="5"/>
        <v>46.66666666666697</v>
      </c>
      <c r="V16" s="27">
        <f t="shared" si="6"/>
        <v>263</v>
      </c>
      <c r="W16" s="27">
        <f t="shared" si="7"/>
        <v>110</v>
      </c>
      <c r="X16" s="27">
        <f t="shared" si="8"/>
        <v>31</v>
      </c>
      <c r="Y16" s="27">
        <f t="shared" si="8"/>
        <v>-74</v>
      </c>
      <c r="AA16" s="33">
        <f t="shared" si="23"/>
        <v>12807.96375</v>
      </c>
      <c r="AB16" s="33">
        <f t="shared" si="24"/>
        <v>19424.4</v>
      </c>
      <c r="AC16" s="33">
        <f t="shared" si="25"/>
        <v>38525.06</v>
      </c>
      <c r="AD16" s="33">
        <f t="shared" si="26"/>
        <v>7203.215</v>
      </c>
      <c r="AE16" s="33">
        <f t="shared" si="27"/>
        <v>8417.24</v>
      </c>
      <c r="AF16" s="33">
        <f t="shared" si="28"/>
        <v>6366.886666666618</v>
      </c>
      <c r="AG16" s="33">
        <f t="shared" si="29"/>
        <v>7553.9333333333825</v>
      </c>
      <c r="AH16" s="33">
        <f t="shared" si="30"/>
        <v>42571.81</v>
      </c>
      <c r="AI16" s="33">
        <f t="shared" si="31"/>
        <v>17805.7</v>
      </c>
      <c r="AJ16" s="33">
        <f t="shared" si="32"/>
        <v>5017.97</v>
      </c>
      <c r="AK16" s="33">
        <f t="shared" si="33"/>
        <v>-11978.380000000001</v>
      </c>
      <c r="AM16" s="33">
        <f t="shared" si="10"/>
        <v>292978.9054464286</v>
      </c>
      <c r="AN16" s="33">
        <f t="shared" si="11"/>
        <v>311516.95</v>
      </c>
      <c r="AO16" s="33">
        <f t="shared" si="12"/>
        <v>350296.17999999993</v>
      </c>
      <c r="AP16" s="33">
        <f t="shared" si="13"/>
        <v>353730.37500000006</v>
      </c>
      <c r="AQ16" s="33">
        <f t="shared" si="14"/>
        <v>357713.76999999996</v>
      </c>
      <c r="AR16" s="33">
        <f t="shared" si="15"/>
        <v>228466.78285714283</v>
      </c>
      <c r="AS16" s="33">
        <f t="shared" si="16"/>
        <v>333214.83333333343</v>
      </c>
      <c r="AT16" s="33">
        <f t="shared" si="17"/>
        <v>322906.56416666665</v>
      </c>
      <c r="AU16" s="33">
        <f t="shared" si="18"/>
        <v>230248.2966666667</v>
      </c>
      <c r="AV16" s="33">
        <f t="shared" si="19"/>
        <v>248786.8233333333</v>
      </c>
      <c r="AW16" s="33">
        <f t="shared" si="19"/>
        <v>196599.99</v>
      </c>
      <c r="AX16" s="33"/>
      <c r="AY16" s="33">
        <f t="shared" si="34"/>
        <v>18538.04455357144</v>
      </c>
      <c r="AZ16" s="33">
        <f t="shared" si="35"/>
        <v>57317.27455357136</v>
      </c>
      <c r="BA16" s="33">
        <f t="shared" si="36"/>
        <v>60751.469553571485</v>
      </c>
      <c r="BB16" s="33">
        <f t="shared" si="37"/>
        <v>64734.86455357139</v>
      </c>
      <c r="BC16" s="33">
        <f t="shared" si="38"/>
        <v>-64512.12258928575</v>
      </c>
      <c r="BD16" s="33">
        <f t="shared" si="39"/>
        <v>40235.92788690486</v>
      </c>
      <c r="BE16" s="33">
        <f t="shared" si="40"/>
        <v>29927.658720238076</v>
      </c>
      <c r="BF16" s="33">
        <f t="shared" si="41"/>
        <v>-62730.60877976188</v>
      </c>
      <c r="BG16" s="33">
        <f t="shared" si="21"/>
        <v>-44192.08211309527</v>
      </c>
      <c r="BH16" s="33">
        <f t="shared" si="21"/>
        <v>-96378.91544642858</v>
      </c>
      <c r="BI16" s="33"/>
      <c r="BJ16" s="33"/>
    </row>
    <row r="17" spans="1:62" ht="12.75">
      <c r="A17" s="32">
        <v>161.87</v>
      </c>
      <c r="B17" s="22">
        <v>31959</v>
      </c>
      <c r="C17" s="27">
        <f>Numbers!B72</f>
        <v>2174.7083333333335</v>
      </c>
      <c r="D17" s="27">
        <f>Numbers!O72</f>
        <v>2315</v>
      </c>
      <c r="E17" s="27">
        <f>Numbers!N72</f>
        <v>2409</v>
      </c>
      <c r="F17" s="27">
        <f>Numbers!M72</f>
        <v>2676.5</v>
      </c>
      <c r="G17" s="27">
        <f>Numbers!L72</f>
        <v>2642</v>
      </c>
      <c r="H17" s="27">
        <f>Numbers!K72</f>
        <v>1769.3333333333335</v>
      </c>
      <c r="I17" s="27">
        <f>Numbers!J72</f>
        <v>2523.6666666666665</v>
      </c>
      <c r="J17" s="27">
        <f>Numbers!I72</f>
        <v>2139</v>
      </c>
      <c r="K17" s="27">
        <f>Numbers!H72</f>
        <v>1656</v>
      </c>
      <c r="L17" s="27">
        <f>Numbers!G72</f>
        <v>1901</v>
      </c>
      <c r="M17" s="27">
        <f>Numbers!F72</f>
        <v>1603</v>
      </c>
      <c r="O17" s="27">
        <f t="shared" si="22"/>
        <v>64.49305555555566</v>
      </c>
      <c r="P17" s="27">
        <f t="shared" si="0"/>
        <v>30</v>
      </c>
      <c r="Q17" s="27">
        <f t="shared" si="1"/>
        <v>114</v>
      </c>
      <c r="R17" s="27">
        <f t="shared" si="2"/>
        <v>44.5</v>
      </c>
      <c r="S17" s="27">
        <f t="shared" si="3"/>
        <v>30</v>
      </c>
      <c r="T17" s="27">
        <f t="shared" si="4"/>
        <v>39.333333333333485</v>
      </c>
      <c r="U17" s="27">
        <f t="shared" si="5"/>
        <v>46.666666666666515</v>
      </c>
      <c r="V17" s="27">
        <f t="shared" si="6"/>
        <v>205</v>
      </c>
      <c r="W17" s="27">
        <f t="shared" si="7"/>
        <v>39.416666666666515</v>
      </c>
      <c r="X17" s="27">
        <f t="shared" si="8"/>
        <v>15</v>
      </c>
      <c r="Y17" s="27">
        <f t="shared" si="8"/>
        <v>112</v>
      </c>
      <c r="AA17" s="33">
        <f t="shared" si="23"/>
        <v>10439.490902777794</v>
      </c>
      <c r="AB17" s="33">
        <f t="shared" si="24"/>
        <v>4856.1</v>
      </c>
      <c r="AC17" s="33">
        <f t="shared" si="25"/>
        <v>18453.18</v>
      </c>
      <c r="AD17" s="33">
        <f t="shared" si="26"/>
        <v>7203.215</v>
      </c>
      <c r="AE17" s="33">
        <f t="shared" si="27"/>
        <v>4856.1</v>
      </c>
      <c r="AF17" s="33">
        <f t="shared" si="28"/>
        <v>6366.886666666692</v>
      </c>
      <c r="AG17" s="33">
        <f t="shared" si="29"/>
        <v>7553.933333333309</v>
      </c>
      <c r="AH17" s="33">
        <f t="shared" si="30"/>
        <v>33183.35</v>
      </c>
      <c r="AI17" s="33">
        <f t="shared" si="31"/>
        <v>6380.375833333309</v>
      </c>
      <c r="AJ17" s="33">
        <f t="shared" si="32"/>
        <v>2428.05</v>
      </c>
      <c r="AK17" s="33">
        <f t="shared" si="33"/>
        <v>18129.440000000002</v>
      </c>
      <c r="AM17" s="33">
        <f t="shared" si="10"/>
        <v>280170.9416964286</v>
      </c>
      <c r="AN17" s="33">
        <f t="shared" si="11"/>
        <v>292092.55</v>
      </c>
      <c r="AO17" s="33">
        <f t="shared" si="12"/>
        <v>311771.11999999994</v>
      </c>
      <c r="AP17" s="33">
        <f t="shared" si="13"/>
        <v>346527.16000000003</v>
      </c>
      <c r="AQ17" s="33">
        <f t="shared" si="14"/>
        <v>349296.52999999997</v>
      </c>
      <c r="AR17" s="33">
        <f t="shared" si="15"/>
        <v>222099.8961904762</v>
      </c>
      <c r="AS17" s="33">
        <f t="shared" si="16"/>
        <v>325660.9</v>
      </c>
      <c r="AT17" s="33">
        <f t="shared" si="17"/>
        <v>280334.75416666665</v>
      </c>
      <c r="AU17" s="33">
        <f t="shared" si="18"/>
        <v>212442.59666666668</v>
      </c>
      <c r="AV17" s="33">
        <f t="shared" si="19"/>
        <v>243768.8533333333</v>
      </c>
      <c r="AW17" s="33">
        <f t="shared" si="19"/>
        <v>208578.37</v>
      </c>
      <c r="AX17" s="33"/>
      <c r="AY17" s="33">
        <f t="shared" si="34"/>
        <v>11921.608303571411</v>
      </c>
      <c r="AZ17" s="33">
        <f t="shared" si="35"/>
        <v>31600.17830357136</v>
      </c>
      <c r="BA17" s="33">
        <f t="shared" si="36"/>
        <v>66356.21830357146</v>
      </c>
      <c r="BB17" s="33">
        <f t="shared" si="37"/>
        <v>69125.58830357139</v>
      </c>
      <c r="BC17" s="33">
        <f t="shared" si="38"/>
        <v>-58071.04550595238</v>
      </c>
      <c r="BD17" s="33">
        <f t="shared" si="39"/>
        <v>45489.958303571446</v>
      </c>
      <c r="BE17" s="33">
        <f t="shared" si="40"/>
        <v>163.81247023807373</v>
      </c>
      <c r="BF17" s="33">
        <f t="shared" si="41"/>
        <v>-67728.3450297619</v>
      </c>
      <c r="BG17" s="33">
        <f t="shared" si="21"/>
        <v>-36402.088363095274</v>
      </c>
      <c r="BH17" s="33">
        <f t="shared" si="21"/>
        <v>-71592.57169642858</v>
      </c>
      <c r="BI17" s="33"/>
      <c r="BJ17" s="33"/>
    </row>
    <row r="18" spans="1:62" ht="12.75">
      <c r="A18" s="32">
        <v>154.79</v>
      </c>
      <c r="B18" s="22">
        <v>31929</v>
      </c>
      <c r="C18" s="27">
        <f>Numbers!B73</f>
        <v>2110.215277777778</v>
      </c>
      <c r="D18" s="27">
        <f>Numbers!O73</f>
        <v>2285</v>
      </c>
      <c r="E18" s="27">
        <f>Numbers!N73</f>
        <v>2295</v>
      </c>
      <c r="F18" s="27">
        <f>Numbers!M73</f>
        <v>2632</v>
      </c>
      <c r="G18" s="27">
        <f>Numbers!L73</f>
        <v>2612</v>
      </c>
      <c r="H18" s="27">
        <f>Numbers!K73</f>
        <v>1730</v>
      </c>
      <c r="I18" s="27">
        <f>Numbers!J73</f>
        <v>2477</v>
      </c>
      <c r="J18" s="27">
        <f>Numbers!I73</f>
        <v>1934</v>
      </c>
      <c r="K18" s="27">
        <f>Numbers!H73</f>
        <v>1616.5833333333335</v>
      </c>
      <c r="L18" s="27">
        <f>Numbers!G73</f>
        <v>1886</v>
      </c>
      <c r="M18" s="27">
        <f>Numbers!F73</f>
        <v>1491</v>
      </c>
      <c r="O18" s="27">
        <f t="shared" si="22"/>
        <v>47.9375</v>
      </c>
      <c r="P18" s="27">
        <f t="shared" si="0"/>
        <v>30</v>
      </c>
      <c r="Q18" s="27">
        <f t="shared" si="1"/>
        <v>58</v>
      </c>
      <c r="R18" s="27">
        <f t="shared" si="2"/>
        <v>102.5</v>
      </c>
      <c r="S18" s="27">
        <f t="shared" si="3"/>
        <v>66</v>
      </c>
      <c r="T18" s="27">
        <f t="shared" si="4"/>
        <v>27.666666666666515</v>
      </c>
      <c r="U18" s="27">
        <f t="shared" si="5"/>
        <v>46.666666666666515</v>
      </c>
      <c r="V18" s="27">
        <f t="shared" si="6"/>
        <v>99</v>
      </c>
      <c r="W18" s="27">
        <f t="shared" si="7"/>
        <v>39.41666666666697</v>
      </c>
      <c r="X18" s="27">
        <f t="shared" si="8"/>
        <v>20</v>
      </c>
      <c r="Y18" s="27">
        <f t="shared" si="8"/>
        <v>32</v>
      </c>
      <c r="AA18" s="33">
        <f t="shared" si="23"/>
        <v>7420.245625</v>
      </c>
      <c r="AB18" s="33">
        <f t="shared" si="24"/>
        <v>4643.7</v>
      </c>
      <c r="AC18" s="33">
        <f t="shared" si="25"/>
        <v>8977.82</v>
      </c>
      <c r="AD18" s="33">
        <f t="shared" si="26"/>
        <v>15865.974999999999</v>
      </c>
      <c r="AE18" s="33">
        <f t="shared" si="27"/>
        <v>10216.14</v>
      </c>
      <c r="AF18" s="33">
        <f t="shared" si="28"/>
        <v>4282.52333333331</v>
      </c>
      <c r="AG18" s="33">
        <f t="shared" si="29"/>
        <v>7223.533333333309</v>
      </c>
      <c r="AH18" s="33">
        <f t="shared" si="30"/>
        <v>15324.21</v>
      </c>
      <c r="AI18" s="33">
        <f t="shared" si="31"/>
        <v>6101.30583333338</v>
      </c>
      <c r="AJ18" s="33">
        <f t="shared" si="32"/>
        <v>3095.7999999999997</v>
      </c>
      <c r="AK18" s="33">
        <f t="shared" si="33"/>
        <v>4953.28</v>
      </c>
      <c r="AM18" s="33">
        <f t="shared" si="10"/>
        <v>269731.45079365076</v>
      </c>
      <c r="AN18" s="33">
        <f t="shared" si="11"/>
        <v>287236.45</v>
      </c>
      <c r="AO18" s="33">
        <f t="shared" si="12"/>
        <v>293317.93999999994</v>
      </c>
      <c r="AP18" s="33">
        <f t="shared" si="13"/>
        <v>339323.945</v>
      </c>
      <c r="AQ18" s="33">
        <f t="shared" si="14"/>
        <v>344440.43</v>
      </c>
      <c r="AR18" s="33">
        <f t="shared" si="15"/>
        <v>215733.0095238095</v>
      </c>
      <c r="AS18" s="33">
        <f t="shared" si="16"/>
        <v>318106.96666666673</v>
      </c>
      <c r="AT18" s="33">
        <f t="shared" si="17"/>
        <v>247151.40416666667</v>
      </c>
      <c r="AU18" s="33">
        <f t="shared" si="18"/>
        <v>206062.22083333338</v>
      </c>
      <c r="AV18" s="33">
        <f t="shared" si="19"/>
        <v>241340.80333333332</v>
      </c>
      <c r="AW18" s="33">
        <f t="shared" si="19"/>
        <v>190448.93</v>
      </c>
      <c r="AX18" s="33"/>
      <c r="AY18" s="33">
        <f t="shared" si="34"/>
        <v>17504.999206349254</v>
      </c>
      <c r="AZ18" s="33">
        <f t="shared" si="35"/>
        <v>23586.489206349186</v>
      </c>
      <c r="BA18" s="33">
        <f t="shared" si="36"/>
        <v>69592.49420634925</v>
      </c>
      <c r="BB18" s="33">
        <f t="shared" si="37"/>
        <v>74708.97920634924</v>
      </c>
      <c r="BC18" s="33">
        <f t="shared" si="38"/>
        <v>-53998.44126984125</v>
      </c>
      <c r="BD18" s="33">
        <f t="shared" si="39"/>
        <v>48375.515873015975</v>
      </c>
      <c r="BE18" s="33">
        <f t="shared" si="40"/>
        <v>-22580.046626984084</v>
      </c>
      <c r="BF18" s="33">
        <f t="shared" si="41"/>
        <v>-63669.229960317374</v>
      </c>
      <c r="BG18" s="33">
        <f t="shared" si="21"/>
        <v>-28390.647460317443</v>
      </c>
      <c r="BH18" s="33">
        <f t="shared" si="21"/>
        <v>-79282.52079365076</v>
      </c>
      <c r="BI18" s="33"/>
      <c r="BJ18" s="33"/>
    </row>
    <row r="19" spans="1:62" ht="12.75">
      <c r="A19" s="32">
        <v>154.79</v>
      </c>
      <c r="B19" s="22">
        <v>31898</v>
      </c>
      <c r="C19" s="27">
        <f>Numbers!B74</f>
        <v>2062.277777777778</v>
      </c>
      <c r="D19" s="27">
        <f>Numbers!O74</f>
        <v>2255</v>
      </c>
      <c r="E19" s="27">
        <f>Numbers!N74</f>
        <v>2237</v>
      </c>
      <c r="F19" s="27">
        <f>Numbers!M74</f>
        <v>2529.5</v>
      </c>
      <c r="G19" s="27">
        <f>Numbers!L74</f>
        <v>2546</v>
      </c>
      <c r="H19" s="27">
        <f>Numbers!K74</f>
        <v>1702.3333333333335</v>
      </c>
      <c r="I19" s="27">
        <f>Numbers!J74</f>
        <v>2430.3333333333335</v>
      </c>
      <c r="J19" s="27">
        <f>Numbers!I74</f>
        <v>1835</v>
      </c>
      <c r="K19" s="27">
        <f>Numbers!H74</f>
        <v>1577.1666666666665</v>
      </c>
      <c r="L19" s="27">
        <f>Numbers!G74</f>
        <v>1866</v>
      </c>
      <c r="M19" s="27">
        <f>Numbers!F74</f>
        <v>1459</v>
      </c>
      <c r="O19" s="27">
        <f t="shared" si="22"/>
        <v>39.35416666666674</v>
      </c>
      <c r="P19" s="27">
        <f t="shared" si="0"/>
        <v>20</v>
      </c>
      <c r="Q19" s="27">
        <f t="shared" si="1"/>
        <v>25</v>
      </c>
      <c r="R19" s="27">
        <f t="shared" si="2"/>
        <v>102.5</v>
      </c>
      <c r="S19" s="27">
        <f t="shared" si="3"/>
        <v>66</v>
      </c>
      <c r="T19" s="27">
        <f t="shared" si="4"/>
        <v>27.66666666666697</v>
      </c>
      <c r="U19" s="27">
        <f t="shared" si="5"/>
        <v>46.66666666666697</v>
      </c>
      <c r="V19" s="27">
        <f t="shared" si="6"/>
        <v>39</v>
      </c>
      <c r="W19" s="27">
        <f t="shared" si="7"/>
        <v>39.416666666666515</v>
      </c>
      <c r="X19" s="27">
        <f t="shared" si="8"/>
        <v>20</v>
      </c>
      <c r="Y19" s="27">
        <f t="shared" si="8"/>
        <v>45</v>
      </c>
      <c r="AA19" s="33">
        <f t="shared" si="23"/>
        <v>6091.631458333345</v>
      </c>
      <c r="AB19" s="33">
        <f t="shared" si="24"/>
        <v>3095.7999999999997</v>
      </c>
      <c r="AC19" s="33">
        <f t="shared" si="25"/>
        <v>3869.75</v>
      </c>
      <c r="AD19" s="33">
        <f t="shared" si="26"/>
        <v>15865.974999999999</v>
      </c>
      <c r="AE19" s="33">
        <f t="shared" si="27"/>
        <v>10216.14</v>
      </c>
      <c r="AF19" s="33">
        <f t="shared" si="28"/>
        <v>4282.52333333338</v>
      </c>
      <c r="AG19" s="33">
        <f t="shared" si="29"/>
        <v>7223.53333333338</v>
      </c>
      <c r="AH19" s="33">
        <f t="shared" si="30"/>
        <v>6036.8099999999995</v>
      </c>
      <c r="AI19" s="33">
        <f t="shared" si="31"/>
        <v>6101.305833333309</v>
      </c>
      <c r="AJ19" s="33">
        <f t="shared" si="32"/>
        <v>3095.7999999999997</v>
      </c>
      <c r="AK19" s="33">
        <f t="shared" si="33"/>
        <v>6965.549999999999</v>
      </c>
      <c r="AM19" s="33">
        <f t="shared" si="10"/>
        <v>262311.2051686508</v>
      </c>
      <c r="AN19" s="33">
        <f t="shared" si="11"/>
        <v>282592.75</v>
      </c>
      <c r="AO19" s="33">
        <f t="shared" si="12"/>
        <v>284340.11999999994</v>
      </c>
      <c r="AP19" s="33">
        <f t="shared" si="13"/>
        <v>323457.97000000003</v>
      </c>
      <c r="AQ19" s="33">
        <f t="shared" si="14"/>
        <v>334224.29</v>
      </c>
      <c r="AR19" s="33">
        <f t="shared" si="15"/>
        <v>211450.4861904762</v>
      </c>
      <c r="AS19" s="33">
        <f t="shared" si="16"/>
        <v>310883.4333333334</v>
      </c>
      <c r="AT19" s="33">
        <f t="shared" si="17"/>
        <v>231827.19416666668</v>
      </c>
      <c r="AU19" s="33">
        <f t="shared" si="18"/>
        <v>199960.915</v>
      </c>
      <c r="AV19" s="33">
        <f t="shared" si="19"/>
        <v>238245.00333333333</v>
      </c>
      <c r="AW19" s="33">
        <f t="shared" si="19"/>
        <v>185495.65</v>
      </c>
      <c r="AX19" s="33"/>
      <c r="AY19" s="33">
        <f t="shared" si="34"/>
        <v>20281.544831349223</v>
      </c>
      <c r="AZ19" s="33">
        <f t="shared" si="35"/>
        <v>22028.91483134916</v>
      </c>
      <c r="BA19" s="33">
        <f t="shared" si="36"/>
        <v>61146.764831349254</v>
      </c>
      <c r="BB19" s="33">
        <f t="shared" si="37"/>
        <v>71913.0848313492</v>
      </c>
      <c r="BC19" s="33">
        <f t="shared" si="38"/>
        <v>-50860.718978174584</v>
      </c>
      <c r="BD19" s="33">
        <f t="shared" si="39"/>
        <v>48572.22816468263</v>
      </c>
      <c r="BE19" s="33">
        <f t="shared" si="40"/>
        <v>-30484.011001984094</v>
      </c>
      <c r="BF19" s="33">
        <f t="shared" si="41"/>
        <v>-62350.29016865077</v>
      </c>
      <c r="BG19" s="33">
        <f t="shared" si="21"/>
        <v>-24066.20183531745</v>
      </c>
      <c r="BH19" s="33">
        <f t="shared" si="21"/>
        <v>-76815.55516865078</v>
      </c>
      <c r="BI19" s="33"/>
      <c r="BJ19" s="33"/>
    </row>
    <row r="20" spans="1:62" ht="12.75">
      <c r="A20" s="32">
        <v>152.97</v>
      </c>
      <c r="B20" s="22">
        <v>31868</v>
      </c>
      <c r="C20" s="27">
        <f>Numbers!B75</f>
        <v>2022.923611111111</v>
      </c>
      <c r="D20" s="27">
        <f>Numbers!O75</f>
        <v>2235</v>
      </c>
      <c r="E20" s="27">
        <f>Numbers!N75</f>
        <v>2212</v>
      </c>
      <c r="F20" s="27">
        <f>Numbers!M75</f>
        <v>2427</v>
      </c>
      <c r="G20" s="27">
        <f>Numbers!L75</f>
        <v>2480</v>
      </c>
      <c r="H20" s="27">
        <f>Numbers!K75</f>
        <v>1674.6666666666665</v>
      </c>
      <c r="I20" s="27">
        <f>Numbers!J75</f>
        <v>2383.6666666666665</v>
      </c>
      <c r="J20" s="27">
        <f>Numbers!I75</f>
        <v>1796</v>
      </c>
      <c r="K20" s="27">
        <f>Numbers!H75</f>
        <v>1537.75</v>
      </c>
      <c r="L20" s="27">
        <f>Numbers!G75</f>
        <v>1846</v>
      </c>
      <c r="M20" s="27">
        <f>Numbers!F75</f>
        <v>1414</v>
      </c>
      <c r="O20" s="27">
        <f t="shared" si="22"/>
        <v>31.916666666666515</v>
      </c>
      <c r="P20" s="27">
        <f t="shared" si="0"/>
        <v>20</v>
      </c>
      <c r="Q20" s="27">
        <f t="shared" si="1"/>
        <v>25</v>
      </c>
      <c r="R20" s="27">
        <f t="shared" si="2"/>
        <v>33.25</v>
      </c>
      <c r="S20" s="27">
        <f t="shared" si="3"/>
        <v>33</v>
      </c>
      <c r="T20" s="27">
        <f t="shared" si="4"/>
        <v>27.666666666666515</v>
      </c>
      <c r="U20" s="27">
        <f t="shared" si="5"/>
        <v>46.666666666666515</v>
      </c>
      <c r="V20" s="27">
        <f t="shared" si="6"/>
        <v>24</v>
      </c>
      <c r="W20" s="27">
        <f t="shared" si="7"/>
        <v>39.416666666666515</v>
      </c>
      <c r="X20" s="27">
        <f t="shared" si="8"/>
        <v>20</v>
      </c>
      <c r="Y20" s="27">
        <f t="shared" si="8"/>
        <v>59</v>
      </c>
      <c r="AA20" s="33">
        <f t="shared" si="23"/>
        <v>4882.292499999977</v>
      </c>
      <c r="AB20" s="33">
        <f t="shared" si="24"/>
        <v>3059.4</v>
      </c>
      <c r="AC20" s="33">
        <f t="shared" si="25"/>
        <v>3824.25</v>
      </c>
      <c r="AD20" s="33">
        <f t="shared" si="26"/>
        <v>5086.2525</v>
      </c>
      <c r="AE20" s="33">
        <f t="shared" si="27"/>
        <v>5048.01</v>
      </c>
      <c r="AF20" s="33">
        <f t="shared" si="28"/>
        <v>4232.169999999976</v>
      </c>
      <c r="AG20" s="33">
        <f t="shared" si="29"/>
        <v>7138.599999999977</v>
      </c>
      <c r="AH20" s="33">
        <f t="shared" si="30"/>
        <v>3671.2799999999997</v>
      </c>
      <c r="AI20" s="33">
        <f t="shared" si="31"/>
        <v>6029.5674999999765</v>
      </c>
      <c r="AJ20" s="33">
        <f t="shared" si="32"/>
        <v>3059.4</v>
      </c>
      <c r="AK20" s="33">
        <f t="shared" si="33"/>
        <v>9025.23</v>
      </c>
      <c r="AM20" s="33">
        <f t="shared" si="10"/>
        <v>256219.57371031743</v>
      </c>
      <c r="AN20" s="33">
        <f t="shared" si="11"/>
        <v>279496.95</v>
      </c>
      <c r="AO20" s="33">
        <f t="shared" si="12"/>
        <v>280470.36999999994</v>
      </c>
      <c r="AP20" s="33">
        <f t="shared" si="13"/>
        <v>307591.99500000005</v>
      </c>
      <c r="AQ20" s="33">
        <f t="shared" si="14"/>
        <v>324008.14999999997</v>
      </c>
      <c r="AR20" s="33">
        <f t="shared" si="15"/>
        <v>207167.96285714282</v>
      </c>
      <c r="AS20" s="33">
        <f t="shared" si="16"/>
        <v>303659.9</v>
      </c>
      <c r="AT20" s="33">
        <f t="shared" si="17"/>
        <v>225790.38416666668</v>
      </c>
      <c r="AU20" s="33">
        <f t="shared" si="18"/>
        <v>193859.6091666667</v>
      </c>
      <c r="AV20" s="33">
        <f t="shared" si="19"/>
        <v>235149.20333333334</v>
      </c>
      <c r="AW20" s="33">
        <f t="shared" si="19"/>
        <v>178530.1</v>
      </c>
      <c r="AX20" s="33"/>
      <c r="AY20" s="33">
        <f t="shared" si="34"/>
        <v>23277.37628968258</v>
      </c>
      <c r="AZ20" s="33">
        <f aca="true" t="shared" si="42" ref="AZ20:AZ39">AO20-$AM20</f>
        <v>24250.796289682505</v>
      </c>
      <c r="BA20" s="33">
        <f aca="true" t="shared" si="43" ref="BA20:BA39">AP20-$AM20</f>
        <v>51372.42128968262</v>
      </c>
      <c r="BB20" s="33">
        <f aca="true" t="shared" si="44" ref="BB20:BB39">AQ20-$AM20</f>
        <v>67788.57628968253</v>
      </c>
      <c r="BC20" s="33">
        <f aca="true" t="shared" si="45" ref="BC20:BC39">AR20-$AM20</f>
        <v>-49051.610853174614</v>
      </c>
      <c r="BD20" s="33">
        <f aca="true" t="shared" si="46" ref="BD20:BD39">AS20-$AM20</f>
        <v>47440.32628968259</v>
      </c>
      <c r="BE20" s="33">
        <f aca="true" t="shared" si="47" ref="BE20:BE39">AT20-$AM20</f>
        <v>-30429.189543650748</v>
      </c>
      <c r="BF20" s="33">
        <f aca="true" t="shared" si="48" ref="BF20:BF39">AU20-$AM20</f>
        <v>-62359.96454365074</v>
      </c>
      <c r="BG20" s="33">
        <f aca="true" t="shared" si="49" ref="BG20:BH39">AV20-$AM20</f>
        <v>-21070.370376984094</v>
      </c>
      <c r="BH20" s="33">
        <f t="shared" si="49"/>
        <v>-77689.47371031743</v>
      </c>
      <c r="BI20" s="33"/>
      <c r="BJ20" s="33"/>
    </row>
    <row r="21" spans="1:62" ht="12.75">
      <c r="A21" s="32">
        <v>152.97</v>
      </c>
      <c r="B21" s="22">
        <v>31837</v>
      </c>
      <c r="C21" s="27">
        <f>Numbers!B76</f>
        <v>1991.0069444444446</v>
      </c>
      <c r="D21" s="27">
        <f>Numbers!O76</f>
        <v>2215</v>
      </c>
      <c r="E21" s="27">
        <f>Numbers!N76</f>
        <v>2187</v>
      </c>
      <c r="F21" s="27">
        <f>Numbers!M76</f>
        <v>2393.75</v>
      </c>
      <c r="G21" s="27">
        <f>Numbers!L76</f>
        <v>2447</v>
      </c>
      <c r="H21" s="27">
        <f>Numbers!K76</f>
        <v>1647</v>
      </c>
      <c r="I21" s="27">
        <f>Numbers!J76</f>
        <v>2337</v>
      </c>
      <c r="J21" s="27">
        <f>Numbers!I76</f>
        <v>1772</v>
      </c>
      <c r="K21" s="27">
        <f>Numbers!H76</f>
        <v>1498.3333333333335</v>
      </c>
      <c r="L21" s="27">
        <f>Numbers!G76</f>
        <v>1826</v>
      </c>
      <c r="M21" s="27">
        <f>Numbers!F76</f>
        <v>1355</v>
      </c>
      <c r="O21" s="27">
        <f t="shared" si="22"/>
        <v>31.94444444444457</v>
      </c>
      <c r="P21" s="27">
        <f t="shared" si="0"/>
        <v>20</v>
      </c>
      <c r="Q21" s="27">
        <f t="shared" si="1"/>
        <v>11</v>
      </c>
      <c r="R21" s="27">
        <f t="shared" si="2"/>
        <v>33.25</v>
      </c>
      <c r="S21" s="27">
        <f t="shared" si="3"/>
        <v>27</v>
      </c>
      <c r="T21" s="27">
        <f t="shared" si="4"/>
        <v>27.666666666666515</v>
      </c>
      <c r="U21" s="27">
        <f t="shared" si="5"/>
        <v>39</v>
      </c>
      <c r="V21" s="27">
        <f t="shared" si="6"/>
        <v>24</v>
      </c>
      <c r="W21" s="27">
        <f t="shared" si="7"/>
        <v>39.41666666666697</v>
      </c>
      <c r="X21" s="27">
        <f t="shared" si="8"/>
        <v>20</v>
      </c>
      <c r="Y21" s="27">
        <f t="shared" si="8"/>
        <v>3</v>
      </c>
      <c r="AA21" s="33">
        <f t="shared" si="23"/>
        <v>4886.541666666686</v>
      </c>
      <c r="AB21" s="33">
        <f t="shared" si="24"/>
        <v>3059.4</v>
      </c>
      <c r="AC21" s="33">
        <f t="shared" si="25"/>
        <v>1682.67</v>
      </c>
      <c r="AD21" s="33">
        <f t="shared" si="26"/>
        <v>5086.2525</v>
      </c>
      <c r="AE21" s="33">
        <f t="shared" si="27"/>
        <v>4130.19</v>
      </c>
      <c r="AF21" s="33">
        <f t="shared" si="28"/>
        <v>4232.169999999976</v>
      </c>
      <c r="AG21" s="33">
        <f t="shared" si="29"/>
        <v>5965.83</v>
      </c>
      <c r="AH21" s="33">
        <f t="shared" si="30"/>
        <v>3671.2799999999997</v>
      </c>
      <c r="AI21" s="33">
        <f t="shared" si="31"/>
        <v>6029.5675000000465</v>
      </c>
      <c r="AJ21" s="33">
        <f t="shared" si="32"/>
        <v>3059.4</v>
      </c>
      <c r="AK21" s="33">
        <f t="shared" si="33"/>
        <v>458.90999999999997</v>
      </c>
      <c r="AM21" s="33">
        <f t="shared" si="10"/>
        <v>251337.28121031745</v>
      </c>
      <c r="AN21" s="33">
        <f t="shared" si="11"/>
        <v>276437.55</v>
      </c>
      <c r="AO21" s="33">
        <f t="shared" si="12"/>
        <v>276646.11999999994</v>
      </c>
      <c r="AP21" s="33">
        <f t="shared" si="13"/>
        <v>302505.74250000005</v>
      </c>
      <c r="AQ21" s="33">
        <f t="shared" si="14"/>
        <v>318960.13999999996</v>
      </c>
      <c r="AR21" s="33">
        <f t="shared" si="15"/>
        <v>202935.79285714283</v>
      </c>
      <c r="AS21" s="33">
        <f t="shared" si="16"/>
        <v>296521.30000000005</v>
      </c>
      <c r="AT21" s="33">
        <f t="shared" si="17"/>
        <v>222119.1041666667</v>
      </c>
      <c r="AU21" s="33">
        <f t="shared" si="18"/>
        <v>187830.04166666672</v>
      </c>
      <c r="AV21" s="33">
        <f t="shared" si="19"/>
        <v>232089.80333333334</v>
      </c>
      <c r="AW21" s="33">
        <f t="shared" si="19"/>
        <v>169504.87</v>
      </c>
      <c r="AX21" s="33"/>
      <c r="AY21" s="33">
        <f t="shared" si="34"/>
        <v>25100.268789682537</v>
      </c>
      <c r="AZ21" s="33">
        <f t="shared" si="42"/>
        <v>25308.838789682486</v>
      </c>
      <c r="BA21" s="33">
        <f t="shared" si="43"/>
        <v>51168.4612896826</v>
      </c>
      <c r="BB21" s="33">
        <f t="shared" si="44"/>
        <v>67622.8587896825</v>
      </c>
      <c r="BC21" s="33">
        <f t="shared" si="45"/>
        <v>-48401.488353174616</v>
      </c>
      <c r="BD21" s="33">
        <f t="shared" si="46"/>
        <v>45184.018789682596</v>
      </c>
      <c r="BE21" s="33">
        <f t="shared" si="47"/>
        <v>-29218.177043650765</v>
      </c>
      <c r="BF21" s="33">
        <f t="shared" si="48"/>
        <v>-63507.239543650736</v>
      </c>
      <c r="BG21" s="33">
        <f t="shared" si="49"/>
        <v>-19247.477876984107</v>
      </c>
      <c r="BH21" s="33">
        <f t="shared" si="49"/>
        <v>-81832.41121031746</v>
      </c>
      <c r="BI21" s="33"/>
      <c r="BJ21" s="33"/>
    </row>
    <row r="22" spans="1:62" ht="12.75">
      <c r="A22" s="32">
        <v>152.97</v>
      </c>
      <c r="B22" s="22">
        <v>31808</v>
      </c>
      <c r="C22" s="27">
        <f>Numbers!B77</f>
        <v>1959.0625</v>
      </c>
      <c r="D22" s="27">
        <f>Numbers!O77</f>
        <v>2195</v>
      </c>
      <c r="E22" s="27">
        <f>Numbers!N77</f>
        <v>2176</v>
      </c>
      <c r="F22" s="27">
        <f>Numbers!M77</f>
        <v>2360.5</v>
      </c>
      <c r="G22" s="27">
        <f>Numbers!L77</f>
        <v>2420</v>
      </c>
      <c r="H22" s="27">
        <f>Numbers!K77</f>
        <v>1619.3333333333335</v>
      </c>
      <c r="I22" s="27">
        <f>Numbers!J77</f>
        <v>2298</v>
      </c>
      <c r="J22" s="27">
        <f>Numbers!I77</f>
        <v>1748</v>
      </c>
      <c r="K22" s="27">
        <f>Numbers!H77</f>
        <v>1458.9166666666665</v>
      </c>
      <c r="L22" s="27">
        <f>Numbers!G77</f>
        <v>1806</v>
      </c>
      <c r="M22" s="27">
        <f>Numbers!F77</f>
        <v>1352</v>
      </c>
      <c r="O22" s="27">
        <f t="shared" si="22"/>
        <v>43.152777777778056</v>
      </c>
      <c r="P22" s="27">
        <f t="shared" si="0"/>
        <v>80</v>
      </c>
      <c r="Q22" s="27">
        <f t="shared" si="1"/>
        <v>100</v>
      </c>
      <c r="R22" s="27">
        <f t="shared" si="2"/>
        <v>33.25</v>
      </c>
      <c r="S22" s="27">
        <f t="shared" si="3"/>
        <v>125</v>
      </c>
      <c r="T22" s="27">
        <f t="shared" si="4"/>
        <v>27.66666666666697</v>
      </c>
      <c r="U22" s="27">
        <f t="shared" si="5"/>
        <v>35</v>
      </c>
      <c r="V22" s="27">
        <f t="shared" si="6"/>
        <v>24</v>
      </c>
      <c r="W22" s="27">
        <f t="shared" si="7"/>
        <v>39.416666666666515</v>
      </c>
      <c r="X22" s="27">
        <f t="shared" si="8"/>
        <v>20</v>
      </c>
      <c r="Y22" s="27">
        <f t="shared" si="8"/>
        <v>12</v>
      </c>
      <c r="AA22" s="33">
        <f t="shared" si="23"/>
        <v>6601.080416666709</v>
      </c>
      <c r="AB22" s="33">
        <f t="shared" si="24"/>
        <v>12237.6</v>
      </c>
      <c r="AC22" s="33">
        <f t="shared" si="25"/>
        <v>15297</v>
      </c>
      <c r="AD22" s="33">
        <f t="shared" si="26"/>
        <v>5086.2525</v>
      </c>
      <c r="AE22" s="33">
        <f t="shared" si="27"/>
        <v>19121.25</v>
      </c>
      <c r="AF22" s="33">
        <f t="shared" si="28"/>
        <v>4232.1700000000465</v>
      </c>
      <c r="AG22" s="33">
        <f t="shared" si="29"/>
        <v>5353.95</v>
      </c>
      <c r="AH22" s="33">
        <f t="shared" si="30"/>
        <v>3671.2799999999997</v>
      </c>
      <c r="AI22" s="33">
        <f t="shared" si="31"/>
        <v>6029.5674999999765</v>
      </c>
      <c r="AJ22" s="33">
        <f t="shared" si="32"/>
        <v>3059.4</v>
      </c>
      <c r="AK22" s="33">
        <f t="shared" si="33"/>
        <v>1835.6399999999999</v>
      </c>
      <c r="AM22" s="33">
        <f t="shared" si="10"/>
        <v>246450.73954365076</v>
      </c>
      <c r="AN22" s="33">
        <f t="shared" si="11"/>
        <v>273378.14999999997</v>
      </c>
      <c r="AO22" s="33">
        <f t="shared" si="12"/>
        <v>274963.44999999995</v>
      </c>
      <c r="AP22" s="33">
        <f t="shared" si="13"/>
        <v>297419.49000000005</v>
      </c>
      <c r="AQ22" s="33">
        <f t="shared" si="14"/>
        <v>314829.94999999995</v>
      </c>
      <c r="AR22" s="33">
        <f t="shared" si="15"/>
        <v>198703.62285714285</v>
      </c>
      <c r="AS22" s="33">
        <f t="shared" si="16"/>
        <v>290555.47000000003</v>
      </c>
      <c r="AT22" s="33">
        <f t="shared" si="17"/>
        <v>218447.8241666667</v>
      </c>
      <c r="AU22" s="33">
        <f t="shared" si="18"/>
        <v>181800.47416666668</v>
      </c>
      <c r="AV22" s="33">
        <f t="shared" si="19"/>
        <v>229030.40333333335</v>
      </c>
      <c r="AW22" s="33">
        <f t="shared" si="19"/>
        <v>169045.96</v>
      </c>
      <c r="AX22" s="33"/>
      <c r="AY22" s="33">
        <f t="shared" si="34"/>
        <v>26927.4104563492</v>
      </c>
      <c r="AZ22" s="33">
        <f t="shared" si="42"/>
        <v>28512.71045634919</v>
      </c>
      <c r="BA22" s="33">
        <f t="shared" si="43"/>
        <v>50968.750456349284</v>
      </c>
      <c r="BB22" s="33">
        <f t="shared" si="44"/>
        <v>68379.21045634919</v>
      </c>
      <c r="BC22" s="33">
        <f t="shared" si="45"/>
        <v>-47747.116686507914</v>
      </c>
      <c r="BD22" s="33">
        <f t="shared" si="46"/>
        <v>44104.730456349265</v>
      </c>
      <c r="BE22" s="33">
        <f t="shared" si="47"/>
        <v>-28002.915376984078</v>
      </c>
      <c r="BF22" s="33">
        <f t="shared" si="48"/>
        <v>-64650.26537698408</v>
      </c>
      <c r="BG22" s="33">
        <f t="shared" si="49"/>
        <v>-17420.336210317415</v>
      </c>
      <c r="BH22" s="33">
        <f t="shared" si="49"/>
        <v>-77404.77954365077</v>
      </c>
      <c r="BI22" s="33"/>
      <c r="BJ22" s="33"/>
    </row>
    <row r="23" spans="1:62" ht="12.75">
      <c r="A23" s="32">
        <v>151.15</v>
      </c>
      <c r="B23" s="22">
        <v>31777</v>
      </c>
      <c r="C23" s="27">
        <f>Numbers!B78</f>
        <v>1915.909722222222</v>
      </c>
      <c r="D23" s="27">
        <f>Numbers!O78</f>
        <v>2115</v>
      </c>
      <c r="E23" s="27">
        <f>Numbers!N78</f>
        <v>2076</v>
      </c>
      <c r="F23" s="27">
        <f>Numbers!M78</f>
        <v>2327.25</v>
      </c>
      <c r="G23" s="27">
        <f>Numbers!L78</f>
        <v>2295</v>
      </c>
      <c r="H23" s="27">
        <f>Numbers!K78</f>
        <v>1591.6666666666665</v>
      </c>
      <c r="I23" s="27">
        <f>Numbers!J78</f>
        <v>2263</v>
      </c>
      <c r="J23" s="27">
        <f>Numbers!I78</f>
        <v>1724</v>
      </c>
      <c r="K23" s="27">
        <f>Numbers!H78</f>
        <v>1419.5</v>
      </c>
      <c r="L23" s="27">
        <f>Numbers!G78</f>
        <v>1786</v>
      </c>
      <c r="M23" s="27">
        <f>Numbers!F78</f>
        <v>1340</v>
      </c>
      <c r="O23" s="27">
        <f t="shared" si="22"/>
        <v>55.81944444444389</v>
      </c>
      <c r="P23" s="27">
        <f t="shared" si="0"/>
        <v>20</v>
      </c>
      <c r="Q23" s="27">
        <f t="shared" si="1"/>
        <v>174</v>
      </c>
      <c r="R23" s="27">
        <f t="shared" si="2"/>
        <v>33.25</v>
      </c>
      <c r="S23" s="27">
        <f t="shared" si="3"/>
        <v>239</v>
      </c>
      <c r="T23" s="27">
        <f t="shared" si="4"/>
        <v>27.666666666666515</v>
      </c>
      <c r="U23" s="27">
        <f t="shared" si="5"/>
        <v>34</v>
      </c>
      <c r="V23" s="27">
        <f t="shared" si="6"/>
        <v>24</v>
      </c>
      <c r="W23" s="27">
        <f t="shared" si="7"/>
        <v>39.41666666666674</v>
      </c>
      <c r="X23" s="27">
        <f t="shared" si="8"/>
        <v>2</v>
      </c>
      <c r="Y23" s="27">
        <f t="shared" si="8"/>
        <v>9</v>
      </c>
      <c r="AA23" s="33">
        <f t="shared" si="23"/>
        <v>8437.109027777695</v>
      </c>
      <c r="AB23" s="33">
        <f t="shared" si="24"/>
        <v>3023</v>
      </c>
      <c r="AC23" s="33">
        <f t="shared" si="25"/>
        <v>26300.100000000002</v>
      </c>
      <c r="AD23" s="33">
        <f t="shared" si="26"/>
        <v>5025.7375</v>
      </c>
      <c r="AE23" s="33">
        <f t="shared" si="27"/>
        <v>36124.85</v>
      </c>
      <c r="AF23" s="33">
        <f t="shared" si="28"/>
        <v>4181.816666666644</v>
      </c>
      <c r="AG23" s="33">
        <f t="shared" si="29"/>
        <v>5139.1</v>
      </c>
      <c r="AH23" s="33">
        <f t="shared" si="30"/>
        <v>3627.6000000000004</v>
      </c>
      <c r="AI23" s="33">
        <f t="shared" si="31"/>
        <v>5957.829166666678</v>
      </c>
      <c r="AJ23" s="33">
        <f t="shared" si="32"/>
        <v>302.3</v>
      </c>
      <c r="AK23" s="33">
        <f t="shared" si="33"/>
        <v>1360.3500000000001</v>
      </c>
      <c r="AM23" s="33">
        <f t="shared" si="10"/>
        <v>239849.65912698404</v>
      </c>
      <c r="AN23" s="33">
        <f t="shared" si="11"/>
        <v>261140.54999999996</v>
      </c>
      <c r="AO23" s="33">
        <f t="shared" si="12"/>
        <v>259666.44999999998</v>
      </c>
      <c r="AP23" s="33">
        <f t="shared" si="13"/>
        <v>292333.23750000005</v>
      </c>
      <c r="AQ23" s="33">
        <f t="shared" si="14"/>
        <v>295708.69999999995</v>
      </c>
      <c r="AR23" s="33">
        <f t="shared" si="15"/>
        <v>194471.4528571428</v>
      </c>
      <c r="AS23" s="33">
        <f t="shared" si="16"/>
        <v>285201.52</v>
      </c>
      <c r="AT23" s="33">
        <f t="shared" si="17"/>
        <v>214776.5441666667</v>
      </c>
      <c r="AU23" s="33">
        <f t="shared" si="18"/>
        <v>175770.9066666667</v>
      </c>
      <c r="AV23" s="33">
        <f t="shared" si="19"/>
        <v>225971.00333333336</v>
      </c>
      <c r="AW23" s="33">
        <f t="shared" si="19"/>
        <v>167210.31999999998</v>
      </c>
      <c r="AX23" s="33"/>
      <c r="AY23" s="33">
        <f t="shared" si="34"/>
        <v>21290.890873015916</v>
      </c>
      <c r="AZ23" s="33">
        <f t="shared" si="42"/>
        <v>19816.79087301594</v>
      </c>
      <c r="BA23" s="33">
        <f t="shared" si="43"/>
        <v>52483.578373016004</v>
      </c>
      <c r="BB23" s="33">
        <f t="shared" si="44"/>
        <v>55859.04087301591</v>
      </c>
      <c r="BC23" s="33">
        <f t="shared" si="45"/>
        <v>-45378.206269841234</v>
      </c>
      <c r="BD23" s="33">
        <f t="shared" si="46"/>
        <v>45351.860873015976</v>
      </c>
      <c r="BE23" s="33">
        <f t="shared" si="47"/>
        <v>-25073.114960317354</v>
      </c>
      <c r="BF23" s="33">
        <f t="shared" si="48"/>
        <v>-64078.75246031734</v>
      </c>
      <c r="BG23" s="33">
        <f t="shared" si="49"/>
        <v>-13878.655793650687</v>
      </c>
      <c r="BH23" s="33">
        <f t="shared" si="49"/>
        <v>-72639.33912698406</v>
      </c>
      <c r="BI23" s="33"/>
      <c r="BJ23" s="33"/>
    </row>
    <row r="24" spans="1:62" ht="12.75">
      <c r="A24" s="32">
        <v>142.82</v>
      </c>
      <c r="B24" s="26">
        <v>31746</v>
      </c>
      <c r="C24" s="27">
        <f>Numbers!B79</f>
        <v>1860.090277777778</v>
      </c>
      <c r="D24" s="27">
        <f>Numbers!O79</f>
        <v>2095</v>
      </c>
      <c r="E24" s="27">
        <f>Numbers!N79</f>
        <v>1902</v>
      </c>
      <c r="F24" s="27">
        <f>Numbers!M79</f>
        <v>2294</v>
      </c>
      <c r="G24" s="27">
        <f>Numbers!L79</f>
        <v>2056</v>
      </c>
      <c r="H24" s="27">
        <f>Numbers!K79</f>
        <v>1564</v>
      </c>
      <c r="I24" s="27">
        <f>Numbers!J79</f>
        <v>2229</v>
      </c>
      <c r="J24" s="27">
        <f>Numbers!I79</f>
        <v>1700</v>
      </c>
      <c r="K24" s="27">
        <f>Numbers!H79</f>
        <v>1380.0833333333333</v>
      </c>
      <c r="L24" s="27">
        <f>Numbers!G79</f>
        <v>1784</v>
      </c>
      <c r="M24" s="27">
        <f>Numbers!F79</f>
        <v>1331</v>
      </c>
      <c r="O24" s="27">
        <f t="shared" si="22"/>
        <v>29.11805555555611</v>
      </c>
      <c r="P24" s="27">
        <f t="shared" si="0"/>
        <v>20</v>
      </c>
      <c r="Q24" s="27">
        <f t="shared" si="1"/>
        <v>50</v>
      </c>
      <c r="R24" s="27">
        <f t="shared" si="2"/>
        <v>-8</v>
      </c>
      <c r="S24" s="27">
        <f t="shared" si="3"/>
        <v>65</v>
      </c>
      <c r="T24" s="27">
        <f t="shared" si="4"/>
        <v>27.666666666666515</v>
      </c>
      <c r="U24" s="27">
        <f t="shared" si="5"/>
        <v>33</v>
      </c>
      <c r="V24" s="27">
        <f t="shared" si="6"/>
        <v>41.33333333333326</v>
      </c>
      <c r="W24" s="27">
        <f t="shared" si="7"/>
        <v>39.416666666666515</v>
      </c>
      <c r="X24" s="27">
        <f t="shared" si="8"/>
        <v>2</v>
      </c>
      <c r="Y24" s="27">
        <f t="shared" si="8"/>
        <v>45</v>
      </c>
      <c r="AA24" s="33">
        <f t="shared" si="23"/>
        <v>4158.640694444523</v>
      </c>
      <c r="AB24" s="33">
        <f t="shared" si="24"/>
        <v>2856.3999999999996</v>
      </c>
      <c r="AC24" s="33">
        <f t="shared" si="25"/>
        <v>7141</v>
      </c>
      <c r="AD24" s="33">
        <f t="shared" si="26"/>
        <v>-1142.56</v>
      </c>
      <c r="AE24" s="33">
        <f t="shared" si="27"/>
        <v>9283.3</v>
      </c>
      <c r="AF24" s="33">
        <f t="shared" si="28"/>
        <v>3951.3533333333116</v>
      </c>
      <c r="AG24" s="33">
        <f t="shared" si="29"/>
        <v>4713.0599999999995</v>
      </c>
      <c r="AH24" s="33">
        <f t="shared" si="30"/>
        <v>5903.226666666656</v>
      </c>
      <c r="AI24" s="33">
        <f t="shared" si="31"/>
        <v>5629.488333333312</v>
      </c>
      <c r="AJ24" s="33">
        <f t="shared" si="32"/>
        <v>285.64</v>
      </c>
      <c r="AK24" s="33">
        <f t="shared" si="33"/>
        <v>6426.9</v>
      </c>
      <c r="AM24" s="33">
        <f t="shared" si="10"/>
        <v>231412.55009920636</v>
      </c>
      <c r="AN24" s="33">
        <f t="shared" si="11"/>
        <v>258117.54999999996</v>
      </c>
      <c r="AO24" s="33">
        <f t="shared" si="12"/>
        <v>233366.34999999998</v>
      </c>
      <c r="AP24" s="33">
        <f t="shared" si="13"/>
        <v>287307.50000000006</v>
      </c>
      <c r="AQ24" s="33">
        <f t="shared" si="14"/>
        <v>259583.84999999998</v>
      </c>
      <c r="AR24" s="33">
        <f t="shared" si="15"/>
        <v>190289.63619047616</v>
      </c>
      <c r="AS24" s="33">
        <f t="shared" si="16"/>
        <v>280062.42000000004</v>
      </c>
      <c r="AT24" s="33">
        <f t="shared" si="17"/>
        <v>211148.94416666668</v>
      </c>
      <c r="AU24" s="33">
        <f t="shared" si="18"/>
        <v>169813.0775</v>
      </c>
      <c r="AV24" s="33">
        <f t="shared" si="19"/>
        <v>225668.70333333337</v>
      </c>
      <c r="AW24" s="33">
        <f t="shared" si="19"/>
        <v>165849.96999999997</v>
      </c>
      <c r="AX24" s="33"/>
      <c r="AY24" s="33">
        <f t="shared" si="34"/>
        <v>26704.9999007936</v>
      </c>
      <c r="AZ24" s="33">
        <f t="shared" si="42"/>
        <v>1953.799900793616</v>
      </c>
      <c r="BA24" s="33">
        <f t="shared" si="43"/>
        <v>55894.9499007937</v>
      </c>
      <c r="BB24" s="33">
        <f t="shared" si="44"/>
        <v>28171.299900793616</v>
      </c>
      <c r="BC24" s="33">
        <f t="shared" si="45"/>
        <v>-41122.9139087302</v>
      </c>
      <c r="BD24" s="33">
        <f t="shared" si="46"/>
        <v>48649.86990079368</v>
      </c>
      <c r="BE24" s="33">
        <f t="shared" si="47"/>
        <v>-20263.605932539678</v>
      </c>
      <c r="BF24" s="33">
        <f t="shared" si="48"/>
        <v>-61599.47259920635</v>
      </c>
      <c r="BG24" s="33">
        <f t="shared" si="49"/>
        <v>-5743.846765872993</v>
      </c>
      <c r="BH24" s="33">
        <f t="shared" si="49"/>
        <v>-65562.58009920639</v>
      </c>
      <c r="BI24" s="33"/>
      <c r="BJ24" s="33"/>
    </row>
    <row r="25" spans="1:62" ht="12.75">
      <c r="A25" s="32">
        <v>141.45</v>
      </c>
      <c r="B25" s="22">
        <v>31716</v>
      </c>
      <c r="C25" s="27">
        <f>Numbers!B80</f>
        <v>1830.972222222222</v>
      </c>
      <c r="D25" s="27">
        <f>Numbers!O80</f>
        <v>2075</v>
      </c>
      <c r="E25" s="27">
        <f>Numbers!N80</f>
        <v>1852</v>
      </c>
      <c r="F25" s="27">
        <f>Numbers!M80</f>
        <v>2302</v>
      </c>
      <c r="G25" s="27">
        <f>Numbers!L80</f>
        <v>1991</v>
      </c>
      <c r="H25" s="27">
        <f>Numbers!K80</f>
        <v>1536.3333333333335</v>
      </c>
      <c r="I25" s="27">
        <f>Numbers!J80</f>
        <v>2196</v>
      </c>
      <c r="J25" s="27">
        <f>Numbers!I80</f>
        <v>1658.6666666666667</v>
      </c>
      <c r="K25" s="27">
        <f>Numbers!H80</f>
        <v>1340.6666666666667</v>
      </c>
      <c r="L25" s="27">
        <f>Numbers!G80</f>
        <v>1782</v>
      </c>
      <c r="M25" s="27">
        <f>Numbers!F80</f>
        <v>1286</v>
      </c>
      <c r="O25" s="27">
        <f t="shared" si="22"/>
        <v>24.284722222221944</v>
      </c>
      <c r="P25" s="27">
        <f t="shared" si="0"/>
        <v>10</v>
      </c>
      <c r="Q25" s="27">
        <f t="shared" si="1"/>
        <v>14</v>
      </c>
      <c r="R25" s="27">
        <f t="shared" si="2"/>
        <v>-8</v>
      </c>
      <c r="S25" s="27">
        <f t="shared" si="3"/>
        <v>27</v>
      </c>
      <c r="T25" s="27">
        <f t="shared" si="4"/>
        <v>27.66666666666697</v>
      </c>
      <c r="U25" s="27">
        <f t="shared" si="5"/>
        <v>35</v>
      </c>
      <c r="V25" s="27">
        <f t="shared" si="6"/>
        <v>41.333333333333485</v>
      </c>
      <c r="W25" s="27">
        <f t="shared" si="7"/>
        <v>39.41666666666674</v>
      </c>
      <c r="X25" s="27">
        <f t="shared" si="8"/>
        <v>70</v>
      </c>
      <c r="Y25" s="27">
        <f t="shared" si="8"/>
        <v>9</v>
      </c>
      <c r="AA25" s="33">
        <f t="shared" si="23"/>
        <v>3435.073958333294</v>
      </c>
      <c r="AB25" s="33">
        <f t="shared" si="24"/>
        <v>1414.5</v>
      </c>
      <c r="AC25" s="33">
        <f t="shared" si="25"/>
        <v>1980.2999999999997</v>
      </c>
      <c r="AD25" s="33">
        <f t="shared" si="26"/>
        <v>-1131.6</v>
      </c>
      <c r="AE25" s="33">
        <f t="shared" si="27"/>
        <v>3819.1499999999996</v>
      </c>
      <c r="AF25" s="33">
        <f t="shared" si="28"/>
        <v>3913.4500000000426</v>
      </c>
      <c r="AG25" s="33">
        <f t="shared" si="29"/>
        <v>4950.75</v>
      </c>
      <c r="AH25" s="33">
        <f t="shared" si="30"/>
        <v>5846.600000000021</v>
      </c>
      <c r="AI25" s="33">
        <f t="shared" si="31"/>
        <v>5575.48750000001</v>
      </c>
      <c r="AJ25" s="33">
        <f t="shared" si="32"/>
        <v>9901.5</v>
      </c>
      <c r="AK25" s="33">
        <f t="shared" si="33"/>
        <v>1273.05</v>
      </c>
      <c r="AM25" s="33">
        <f t="shared" si="10"/>
        <v>227253.90940476183</v>
      </c>
      <c r="AN25" s="33">
        <f t="shared" si="11"/>
        <v>255261.14999999997</v>
      </c>
      <c r="AO25" s="33">
        <f t="shared" si="12"/>
        <v>226225.34999999998</v>
      </c>
      <c r="AP25" s="33">
        <f t="shared" si="13"/>
        <v>288450.06000000006</v>
      </c>
      <c r="AQ25" s="33">
        <f t="shared" si="14"/>
        <v>250300.55</v>
      </c>
      <c r="AR25" s="33">
        <f t="shared" si="15"/>
        <v>186338.28285714285</v>
      </c>
      <c r="AS25" s="33">
        <f t="shared" si="16"/>
        <v>275349.36000000004</v>
      </c>
      <c r="AT25" s="33">
        <f t="shared" si="17"/>
        <v>205245.71750000003</v>
      </c>
      <c r="AU25" s="33">
        <f t="shared" si="18"/>
        <v>164183.5891666667</v>
      </c>
      <c r="AV25" s="33">
        <f t="shared" si="19"/>
        <v>225383.06333333335</v>
      </c>
      <c r="AW25" s="33">
        <f t="shared" si="19"/>
        <v>159423.06999999998</v>
      </c>
      <c r="AX25" s="33"/>
      <c r="AY25" s="33">
        <f t="shared" si="34"/>
        <v>28007.240595238138</v>
      </c>
      <c r="AZ25" s="33">
        <f t="shared" si="42"/>
        <v>-1028.5594047618506</v>
      </c>
      <c r="BA25" s="33">
        <f t="shared" si="43"/>
        <v>61196.15059523823</v>
      </c>
      <c r="BB25" s="33">
        <f t="shared" si="44"/>
        <v>23046.64059523816</v>
      </c>
      <c r="BC25" s="33">
        <f t="shared" si="45"/>
        <v>-40915.62654761897</v>
      </c>
      <c r="BD25" s="33">
        <f t="shared" si="46"/>
        <v>48095.45059523822</v>
      </c>
      <c r="BE25" s="33">
        <f t="shared" si="47"/>
        <v>-22008.1919047618</v>
      </c>
      <c r="BF25" s="33">
        <f t="shared" si="48"/>
        <v>-63070.320238095126</v>
      </c>
      <c r="BG25" s="33">
        <f t="shared" si="49"/>
        <v>-1870.8460714284738</v>
      </c>
      <c r="BH25" s="33">
        <f t="shared" si="49"/>
        <v>-67830.83940476185</v>
      </c>
      <c r="BI25" s="33"/>
      <c r="BJ25" s="33"/>
    </row>
    <row r="26" spans="1:62" ht="12.75">
      <c r="A26" s="32">
        <v>141.45</v>
      </c>
      <c r="B26" s="22">
        <v>31685</v>
      </c>
      <c r="C26" s="27">
        <f>Numbers!B81</f>
        <v>1806.6875</v>
      </c>
      <c r="D26" s="27">
        <f>Numbers!O81</f>
        <v>2065</v>
      </c>
      <c r="E26" s="27">
        <f>Numbers!N81</f>
        <v>1838</v>
      </c>
      <c r="F26" s="27">
        <f>Numbers!M81</f>
        <v>2310</v>
      </c>
      <c r="G26" s="27">
        <f>Numbers!L81</f>
        <v>1964</v>
      </c>
      <c r="H26" s="27">
        <f>Numbers!K81</f>
        <v>1508.6666666666665</v>
      </c>
      <c r="I26" s="27">
        <f>Numbers!J81</f>
        <v>2161</v>
      </c>
      <c r="J26" s="27">
        <f>Numbers!I81</f>
        <v>1617.3333333333333</v>
      </c>
      <c r="K26" s="27">
        <f>Numbers!H81</f>
        <v>1301.25</v>
      </c>
      <c r="L26" s="27">
        <f>Numbers!G81</f>
        <v>1712</v>
      </c>
      <c r="M26" s="27">
        <f>Numbers!F81</f>
        <v>1277</v>
      </c>
      <c r="O26" s="27">
        <f t="shared" si="22"/>
        <v>155.36805555555566</v>
      </c>
      <c r="P26" s="27">
        <f t="shared" si="0"/>
        <v>80</v>
      </c>
      <c r="Q26" s="27">
        <f t="shared" si="1"/>
        <v>159</v>
      </c>
      <c r="R26" s="27">
        <f t="shared" si="2"/>
        <v>216</v>
      </c>
      <c r="S26" s="27">
        <f t="shared" si="3"/>
        <v>263</v>
      </c>
      <c r="T26" s="27">
        <f t="shared" si="4"/>
        <v>27.666666666666515</v>
      </c>
      <c r="U26" s="27">
        <f t="shared" si="5"/>
        <v>209</v>
      </c>
      <c r="V26" s="27">
        <f t="shared" si="6"/>
        <v>41.33333333333326</v>
      </c>
      <c r="W26" s="27">
        <f t="shared" si="7"/>
        <v>39.41666666666674</v>
      </c>
      <c r="X26" s="27">
        <f t="shared" si="8"/>
        <v>345</v>
      </c>
      <c r="Y26" s="27">
        <f t="shared" si="8"/>
        <v>87</v>
      </c>
      <c r="AA26" s="33">
        <f t="shared" si="23"/>
        <v>21976.811458333344</v>
      </c>
      <c r="AB26" s="33">
        <f t="shared" si="24"/>
        <v>11316</v>
      </c>
      <c r="AC26" s="33">
        <f t="shared" si="25"/>
        <v>22490.55</v>
      </c>
      <c r="AD26" s="33">
        <f t="shared" si="26"/>
        <v>30553.199999999997</v>
      </c>
      <c r="AE26" s="33">
        <f t="shared" si="27"/>
        <v>37201.35</v>
      </c>
      <c r="AF26" s="33">
        <f t="shared" si="28"/>
        <v>3913.4499999999784</v>
      </c>
      <c r="AG26" s="33">
        <f t="shared" si="29"/>
        <v>29563.05</v>
      </c>
      <c r="AH26" s="33">
        <f t="shared" si="30"/>
        <v>5846.5999999999885</v>
      </c>
      <c r="AI26" s="33">
        <f t="shared" si="31"/>
        <v>5575.48750000001</v>
      </c>
      <c r="AJ26" s="33">
        <f t="shared" si="32"/>
        <v>48800.24999999999</v>
      </c>
      <c r="AK26" s="33">
        <f t="shared" si="33"/>
        <v>12306.15</v>
      </c>
      <c r="AM26" s="33">
        <f t="shared" si="10"/>
        <v>223818.83544642854</v>
      </c>
      <c r="AN26" s="33">
        <f t="shared" si="11"/>
        <v>253846.64999999997</v>
      </c>
      <c r="AO26" s="33">
        <f t="shared" si="12"/>
        <v>224245.05</v>
      </c>
      <c r="AP26" s="33">
        <f t="shared" si="13"/>
        <v>289581.66000000003</v>
      </c>
      <c r="AQ26" s="33">
        <f t="shared" si="14"/>
        <v>246481.4</v>
      </c>
      <c r="AR26" s="33">
        <f t="shared" si="15"/>
        <v>182424.8328571428</v>
      </c>
      <c r="AS26" s="33">
        <f t="shared" si="16"/>
        <v>270398.61000000004</v>
      </c>
      <c r="AT26" s="33">
        <f t="shared" si="17"/>
        <v>199399.1175</v>
      </c>
      <c r="AU26" s="33">
        <f t="shared" si="18"/>
        <v>158608.10166666668</v>
      </c>
      <c r="AV26" s="33">
        <f t="shared" si="19"/>
        <v>215481.56333333335</v>
      </c>
      <c r="AW26" s="33">
        <f t="shared" si="19"/>
        <v>158150.02</v>
      </c>
      <c r="AX26" s="33"/>
      <c r="AY26" s="33">
        <f t="shared" si="34"/>
        <v>30027.81455357143</v>
      </c>
      <c r="AZ26" s="33">
        <f t="shared" si="42"/>
        <v>426.2145535714517</v>
      </c>
      <c r="BA26" s="33">
        <f t="shared" si="43"/>
        <v>65762.8245535715</v>
      </c>
      <c r="BB26" s="33">
        <f t="shared" si="44"/>
        <v>22662.564553571458</v>
      </c>
      <c r="BC26" s="33">
        <f t="shared" si="45"/>
        <v>-41394.00258928572</v>
      </c>
      <c r="BD26" s="33">
        <f t="shared" si="46"/>
        <v>46579.77455357151</v>
      </c>
      <c r="BE26" s="33">
        <f t="shared" si="47"/>
        <v>-24419.717946428544</v>
      </c>
      <c r="BF26" s="33">
        <f t="shared" si="48"/>
        <v>-65210.73377976185</v>
      </c>
      <c r="BG26" s="33">
        <f t="shared" si="49"/>
        <v>-8337.272113095183</v>
      </c>
      <c r="BH26" s="33">
        <f t="shared" si="49"/>
        <v>-65668.81544642855</v>
      </c>
      <c r="BI26" s="33"/>
      <c r="BJ26" s="33"/>
    </row>
    <row r="27" spans="1:62" ht="12.75">
      <c r="A27" s="32">
        <v>141.45</v>
      </c>
      <c r="B27" s="22">
        <v>31655</v>
      </c>
      <c r="C27" s="27">
        <f>Numbers!B82</f>
        <v>1651.3194444444443</v>
      </c>
      <c r="D27" s="27">
        <f>Numbers!O82</f>
        <v>1985</v>
      </c>
      <c r="E27" s="27">
        <f>Numbers!N82</f>
        <v>1679</v>
      </c>
      <c r="F27" s="27">
        <f>Numbers!M82</f>
        <v>2094</v>
      </c>
      <c r="G27" s="27">
        <f>Numbers!L82</f>
        <v>1701</v>
      </c>
      <c r="H27" s="27">
        <f>Numbers!K82</f>
        <v>1481</v>
      </c>
      <c r="I27" s="27">
        <f>Numbers!J82</f>
        <v>1952</v>
      </c>
      <c r="J27" s="27">
        <f>Numbers!I82</f>
        <v>1576</v>
      </c>
      <c r="K27" s="27">
        <f>Numbers!H82</f>
        <v>1261.8333333333333</v>
      </c>
      <c r="L27" s="27">
        <f>Numbers!G82</f>
        <v>1367</v>
      </c>
      <c r="M27" s="27">
        <f>Numbers!F82</f>
        <v>1190</v>
      </c>
      <c r="O27" s="27">
        <f t="shared" si="22"/>
        <v>45.871031746031576</v>
      </c>
      <c r="P27" s="27">
        <f t="shared" si="0"/>
        <v>80</v>
      </c>
      <c r="Q27" s="27">
        <f t="shared" si="1"/>
        <v>2</v>
      </c>
      <c r="R27" s="27">
        <f t="shared" si="2"/>
        <v>91</v>
      </c>
      <c r="S27" s="27">
        <f t="shared" si="3"/>
        <v>39</v>
      </c>
      <c r="T27" s="27">
        <f t="shared" si="4"/>
        <v>21.28571428571422</v>
      </c>
      <c r="U27" s="27">
        <f t="shared" si="5"/>
        <v>72</v>
      </c>
      <c r="V27" s="27">
        <f t="shared" si="6"/>
        <v>74.75</v>
      </c>
      <c r="W27" s="27">
        <f t="shared" si="7"/>
        <v>39.416666666666515</v>
      </c>
      <c r="X27" s="27">
        <f t="shared" si="8"/>
        <v>33</v>
      </c>
      <c r="Y27" s="27">
        <f t="shared" si="8"/>
        <v>24</v>
      </c>
      <c r="AA27" s="33">
        <f t="shared" si="23"/>
        <v>6488.457440476166</v>
      </c>
      <c r="AB27" s="33">
        <f t="shared" si="24"/>
        <v>11316</v>
      </c>
      <c r="AC27" s="33">
        <f t="shared" si="25"/>
        <v>282.9</v>
      </c>
      <c r="AD27" s="33">
        <f t="shared" si="26"/>
        <v>12871.949999999999</v>
      </c>
      <c r="AE27" s="33">
        <f t="shared" si="27"/>
        <v>5516.549999999999</v>
      </c>
      <c r="AF27" s="33">
        <f t="shared" si="28"/>
        <v>3010.8642857142763</v>
      </c>
      <c r="AG27" s="33">
        <f t="shared" si="29"/>
        <v>10184.4</v>
      </c>
      <c r="AH27" s="33">
        <f t="shared" si="30"/>
        <v>10573.387499999999</v>
      </c>
      <c r="AI27" s="33">
        <f t="shared" si="31"/>
        <v>5575.487499999978</v>
      </c>
      <c r="AJ27" s="33">
        <f t="shared" si="32"/>
        <v>4667.849999999999</v>
      </c>
      <c r="AK27" s="33">
        <f t="shared" si="33"/>
        <v>3394.7999999999997</v>
      </c>
      <c r="AM27" s="33">
        <f t="shared" si="10"/>
        <v>201842.0239880952</v>
      </c>
      <c r="AN27" s="33">
        <f t="shared" si="11"/>
        <v>242530.64999999997</v>
      </c>
      <c r="AO27" s="33">
        <f t="shared" si="12"/>
        <v>201754.5</v>
      </c>
      <c r="AP27" s="33">
        <f t="shared" si="13"/>
        <v>259028.46000000005</v>
      </c>
      <c r="AQ27" s="33">
        <f t="shared" si="14"/>
        <v>209280.05</v>
      </c>
      <c r="AR27" s="33">
        <f t="shared" si="15"/>
        <v>178511.38285714283</v>
      </c>
      <c r="AS27" s="33">
        <f t="shared" si="16"/>
        <v>240835.56000000006</v>
      </c>
      <c r="AT27" s="33">
        <f t="shared" si="17"/>
        <v>193552.51750000002</v>
      </c>
      <c r="AU27" s="33">
        <f t="shared" si="18"/>
        <v>153032.61416666667</v>
      </c>
      <c r="AV27" s="33">
        <f t="shared" si="19"/>
        <v>166681.31333333335</v>
      </c>
      <c r="AW27" s="33">
        <f t="shared" si="19"/>
        <v>145843.87</v>
      </c>
      <c r="AX27" s="33"/>
      <c r="AY27" s="33">
        <f t="shared" si="34"/>
        <v>40688.626011904766</v>
      </c>
      <c r="AZ27" s="33">
        <f t="shared" si="42"/>
        <v>-87.52398809519946</v>
      </c>
      <c r="BA27" s="33">
        <f t="shared" si="43"/>
        <v>57186.43601190485</v>
      </c>
      <c r="BB27" s="33">
        <f t="shared" si="44"/>
        <v>7438.026011904789</v>
      </c>
      <c r="BC27" s="33">
        <f t="shared" si="45"/>
        <v>-23330.64113095237</v>
      </c>
      <c r="BD27" s="33">
        <f t="shared" si="46"/>
        <v>38993.53601190486</v>
      </c>
      <c r="BE27" s="33">
        <f t="shared" si="47"/>
        <v>-8289.506488095183</v>
      </c>
      <c r="BF27" s="33">
        <f t="shared" si="48"/>
        <v>-48809.40982142853</v>
      </c>
      <c r="BG27" s="33">
        <f t="shared" si="49"/>
        <v>-35160.710654761846</v>
      </c>
      <c r="BH27" s="33">
        <f t="shared" si="49"/>
        <v>-55998.153988095204</v>
      </c>
      <c r="BI27" s="33"/>
      <c r="BJ27" s="33"/>
    </row>
    <row r="28" spans="1:62" ht="12.75">
      <c r="A28" s="32">
        <v>138.64</v>
      </c>
      <c r="B28" s="22">
        <v>31624</v>
      </c>
      <c r="C28" s="27">
        <f>Numbers!B83</f>
        <v>1605.4484126984128</v>
      </c>
      <c r="D28" s="27">
        <f>Numbers!O83</f>
        <v>1905</v>
      </c>
      <c r="E28" s="27">
        <f>Numbers!N83</f>
        <v>1677</v>
      </c>
      <c r="F28" s="27">
        <f>Numbers!M83</f>
        <v>2003</v>
      </c>
      <c r="G28" s="27">
        <f>Numbers!L83</f>
        <v>1662</v>
      </c>
      <c r="H28" s="27">
        <f>Numbers!K83</f>
        <v>1459.7142857142858</v>
      </c>
      <c r="I28" s="27">
        <f>Numbers!J83</f>
        <v>1880</v>
      </c>
      <c r="J28" s="27">
        <f>Numbers!I83</f>
        <v>1501.25</v>
      </c>
      <c r="K28" s="27">
        <f>Numbers!H83</f>
        <v>1222.4166666666667</v>
      </c>
      <c r="L28" s="27">
        <f>Numbers!G83</f>
        <v>1334</v>
      </c>
      <c r="M28" s="27">
        <f>Numbers!F83</f>
        <v>1166</v>
      </c>
      <c r="O28" s="27">
        <f t="shared" si="22"/>
        <v>42.121031746031804</v>
      </c>
      <c r="P28" s="27">
        <f t="shared" si="0"/>
        <v>10</v>
      </c>
      <c r="Q28" s="27">
        <f t="shared" si="1"/>
        <v>10</v>
      </c>
      <c r="R28" s="27">
        <f t="shared" si="2"/>
        <v>88</v>
      </c>
      <c r="S28" s="27">
        <f t="shared" si="3"/>
        <v>28</v>
      </c>
      <c r="T28" s="27">
        <f t="shared" si="4"/>
        <v>21.28571428571422</v>
      </c>
      <c r="U28" s="27">
        <f t="shared" si="5"/>
        <v>77</v>
      </c>
      <c r="V28" s="27">
        <f t="shared" si="6"/>
        <v>74.75</v>
      </c>
      <c r="W28" s="27">
        <f t="shared" si="7"/>
        <v>39.41666666666674</v>
      </c>
      <c r="X28" s="27">
        <f t="shared" si="8"/>
        <v>25</v>
      </c>
      <c r="Y28" s="27">
        <f t="shared" si="8"/>
        <v>14</v>
      </c>
      <c r="AA28" s="33">
        <f t="shared" si="23"/>
        <v>5839.659841269849</v>
      </c>
      <c r="AB28" s="33">
        <f t="shared" si="24"/>
        <v>1386.3999999999999</v>
      </c>
      <c r="AC28" s="33">
        <f t="shared" si="25"/>
        <v>1386.3999999999999</v>
      </c>
      <c r="AD28" s="33">
        <f t="shared" si="26"/>
        <v>12200.32</v>
      </c>
      <c r="AE28" s="33">
        <f t="shared" si="27"/>
        <v>3881.9199999999996</v>
      </c>
      <c r="AF28" s="33">
        <f t="shared" si="28"/>
        <v>2951.0514285714194</v>
      </c>
      <c r="AG28" s="33">
        <f t="shared" si="29"/>
        <v>10675.279999999999</v>
      </c>
      <c r="AH28" s="33">
        <f t="shared" si="30"/>
        <v>10363.339999999998</v>
      </c>
      <c r="AI28" s="33">
        <f t="shared" si="31"/>
        <v>5464.7266666666765</v>
      </c>
      <c r="AJ28" s="33">
        <f t="shared" si="32"/>
        <v>3465.9999999999995</v>
      </c>
      <c r="AK28" s="33">
        <f t="shared" si="33"/>
        <v>1940.9599999999998</v>
      </c>
      <c r="AM28" s="33">
        <f t="shared" si="10"/>
        <v>195353.56654761903</v>
      </c>
      <c r="AN28" s="33">
        <f t="shared" si="11"/>
        <v>231214.64999999997</v>
      </c>
      <c r="AO28" s="33">
        <f t="shared" si="12"/>
        <v>201471.6</v>
      </c>
      <c r="AP28" s="33">
        <f t="shared" si="13"/>
        <v>246156.51000000004</v>
      </c>
      <c r="AQ28" s="33">
        <f t="shared" si="14"/>
        <v>203763.5</v>
      </c>
      <c r="AR28" s="33">
        <f t="shared" si="15"/>
        <v>175500.51857142855</v>
      </c>
      <c r="AS28" s="33">
        <f t="shared" si="16"/>
        <v>230651.16000000006</v>
      </c>
      <c r="AT28" s="33">
        <f t="shared" si="17"/>
        <v>182979.13</v>
      </c>
      <c r="AU28" s="33">
        <f t="shared" si="18"/>
        <v>147457.12666666668</v>
      </c>
      <c r="AV28" s="33">
        <f t="shared" si="19"/>
        <v>162013.46333333335</v>
      </c>
      <c r="AW28" s="33">
        <f t="shared" si="19"/>
        <v>142449.07</v>
      </c>
      <c r="AX28" s="33"/>
      <c r="AY28" s="33">
        <f t="shared" si="34"/>
        <v>35861.08345238093</v>
      </c>
      <c r="AZ28" s="33">
        <f t="shared" si="42"/>
        <v>6118.033452380972</v>
      </c>
      <c r="BA28" s="33">
        <f t="shared" si="43"/>
        <v>50802.943452381005</v>
      </c>
      <c r="BB28" s="33">
        <f t="shared" si="44"/>
        <v>8409.933452380967</v>
      </c>
      <c r="BC28" s="33">
        <f t="shared" si="45"/>
        <v>-19853.047976190486</v>
      </c>
      <c r="BD28" s="33">
        <f t="shared" si="46"/>
        <v>35297.59345238103</v>
      </c>
      <c r="BE28" s="33">
        <f t="shared" si="47"/>
        <v>-12374.436547619029</v>
      </c>
      <c r="BF28" s="33">
        <f t="shared" si="48"/>
        <v>-47896.439880952355</v>
      </c>
      <c r="BG28" s="33">
        <f t="shared" si="49"/>
        <v>-33340.103214285686</v>
      </c>
      <c r="BH28" s="33">
        <f t="shared" si="49"/>
        <v>-52904.49654761903</v>
      </c>
      <c r="BI28" s="33"/>
      <c r="BJ28" s="33"/>
    </row>
    <row r="29" spans="1:62" ht="12.75">
      <c r="A29" s="32">
        <v>138.64</v>
      </c>
      <c r="B29" s="22">
        <v>31593</v>
      </c>
      <c r="C29" s="27">
        <f>Numbers!B84</f>
        <v>1563.327380952381</v>
      </c>
      <c r="D29" s="27">
        <f>Numbers!O84</f>
        <v>1895</v>
      </c>
      <c r="E29" s="27">
        <f>Numbers!N84</f>
        <v>1667</v>
      </c>
      <c r="F29" s="27">
        <f>Numbers!M84</f>
        <v>1915</v>
      </c>
      <c r="G29" s="27">
        <f>Numbers!L84</f>
        <v>1634</v>
      </c>
      <c r="H29" s="27">
        <f>Numbers!K84</f>
        <v>1438.4285714285716</v>
      </c>
      <c r="I29" s="27">
        <f>Numbers!J84</f>
        <v>1803</v>
      </c>
      <c r="J29" s="27">
        <f>Numbers!I84</f>
        <v>1426.5</v>
      </c>
      <c r="K29" s="27">
        <f>Numbers!H84</f>
        <v>1183</v>
      </c>
      <c r="L29" s="27">
        <f>Numbers!G84</f>
        <v>1309</v>
      </c>
      <c r="M29" s="27">
        <f>Numbers!F84</f>
        <v>1152</v>
      </c>
      <c r="O29" s="27">
        <f t="shared" si="22"/>
        <v>31.336309523809632</v>
      </c>
      <c r="P29" s="27">
        <f t="shared" si="0"/>
        <v>10</v>
      </c>
      <c r="Q29" s="27">
        <f t="shared" si="1"/>
        <v>5</v>
      </c>
      <c r="R29" s="27">
        <f t="shared" si="2"/>
        <v>88</v>
      </c>
      <c r="S29" s="27">
        <f t="shared" si="3"/>
        <v>28</v>
      </c>
      <c r="T29" s="27">
        <f t="shared" si="4"/>
        <v>21.285714285714675</v>
      </c>
      <c r="U29" s="27">
        <f t="shared" si="5"/>
        <v>76</v>
      </c>
      <c r="V29" s="27">
        <f t="shared" si="6"/>
        <v>74.75</v>
      </c>
      <c r="W29" s="27">
        <f t="shared" si="7"/>
        <v>28</v>
      </c>
      <c r="X29" s="27">
        <f t="shared" si="8"/>
        <v>25</v>
      </c>
      <c r="Y29" s="27">
        <f t="shared" si="8"/>
        <v>9</v>
      </c>
      <c r="AA29" s="33">
        <f t="shared" si="23"/>
        <v>4344.465952380967</v>
      </c>
      <c r="AB29" s="33">
        <f t="shared" si="24"/>
        <v>1386.3999999999999</v>
      </c>
      <c r="AC29" s="33">
        <f t="shared" si="25"/>
        <v>693.1999999999999</v>
      </c>
      <c r="AD29" s="33">
        <f t="shared" si="26"/>
        <v>12200.32</v>
      </c>
      <c r="AE29" s="33">
        <f t="shared" si="27"/>
        <v>3881.9199999999996</v>
      </c>
      <c r="AF29" s="33">
        <f t="shared" si="28"/>
        <v>2951.051428571482</v>
      </c>
      <c r="AG29" s="33">
        <f t="shared" si="29"/>
        <v>10536.64</v>
      </c>
      <c r="AH29" s="33">
        <f t="shared" si="30"/>
        <v>10363.339999999998</v>
      </c>
      <c r="AI29" s="33">
        <f t="shared" si="31"/>
        <v>3881.9199999999996</v>
      </c>
      <c r="AJ29" s="33">
        <f t="shared" si="32"/>
        <v>3465.9999999999995</v>
      </c>
      <c r="AK29" s="33">
        <f t="shared" si="33"/>
        <v>1247.7599999999998</v>
      </c>
      <c r="AM29" s="33">
        <f t="shared" si="10"/>
        <v>189513.9067063492</v>
      </c>
      <c r="AN29" s="33">
        <f t="shared" si="11"/>
        <v>229828.24999999997</v>
      </c>
      <c r="AO29" s="33">
        <f t="shared" si="12"/>
        <v>200085.2</v>
      </c>
      <c r="AP29" s="33">
        <f t="shared" si="13"/>
        <v>233956.19000000003</v>
      </c>
      <c r="AQ29" s="33">
        <f t="shared" si="14"/>
        <v>199881.58</v>
      </c>
      <c r="AR29" s="33">
        <f t="shared" si="15"/>
        <v>172549.46714285712</v>
      </c>
      <c r="AS29" s="33">
        <f t="shared" si="16"/>
        <v>219975.88000000006</v>
      </c>
      <c r="AT29" s="33">
        <f t="shared" si="17"/>
        <v>172615.79</v>
      </c>
      <c r="AU29" s="33">
        <f t="shared" si="18"/>
        <v>141992.4</v>
      </c>
      <c r="AV29" s="33">
        <f t="shared" si="19"/>
        <v>158547.46333333335</v>
      </c>
      <c r="AW29" s="33">
        <f t="shared" si="19"/>
        <v>140508.11000000002</v>
      </c>
      <c r="AX29" s="33"/>
      <c r="AY29" s="33">
        <f t="shared" si="34"/>
        <v>40314.343293650774</v>
      </c>
      <c r="AZ29" s="33">
        <f t="shared" si="42"/>
        <v>10571.293293650815</v>
      </c>
      <c r="BA29" s="33">
        <f t="shared" si="43"/>
        <v>44442.283293650835</v>
      </c>
      <c r="BB29" s="33">
        <f t="shared" si="44"/>
        <v>10367.67329365079</v>
      </c>
      <c r="BC29" s="33">
        <f t="shared" si="45"/>
        <v>-16964.43956349208</v>
      </c>
      <c r="BD29" s="33">
        <f t="shared" si="46"/>
        <v>30461.973293650866</v>
      </c>
      <c r="BE29" s="33">
        <f t="shared" si="47"/>
        <v>-16898.11670634919</v>
      </c>
      <c r="BF29" s="33">
        <f t="shared" si="48"/>
        <v>-47521.5067063492</v>
      </c>
      <c r="BG29" s="33">
        <f t="shared" si="49"/>
        <v>-30966.44337301585</v>
      </c>
      <c r="BH29" s="33">
        <f t="shared" si="49"/>
        <v>-49005.79670634918</v>
      </c>
      <c r="BI29" s="33"/>
      <c r="BJ29" s="33"/>
    </row>
    <row r="30" spans="1:62" ht="12.75">
      <c r="A30" s="32">
        <v>138.64</v>
      </c>
      <c r="B30" s="22">
        <v>31563</v>
      </c>
      <c r="C30" s="27">
        <f>Numbers!B85</f>
        <v>1531.9910714285713</v>
      </c>
      <c r="D30" s="27">
        <f>Numbers!O85</f>
        <v>1885</v>
      </c>
      <c r="E30" s="27">
        <f>Numbers!N85</f>
        <v>1662</v>
      </c>
      <c r="F30" s="27">
        <f>Numbers!M85</f>
        <v>1827</v>
      </c>
      <c r="G30" s="27">
        <f>Numbers!L85</f>
        <v>1606</v>
      </c>
      <c r="H30" s="27">
        <f>Numbers!K85</f>
        <v>1417.1428571428569</v>
      </c>
      <c r="I30" s="27">
        <f>Numbers!J85</f>
        <v>1727</v>
      </c>
      <c r="J30" s="27">
        <f>Numbers!I85</f>
        <v>1351.75</v>
      </c>
      <c r="K30" s="27">
        <f>Numbers!H85</f>
        <v>1155</v>
      </c>
      <c r="L30" s="27">
        <f>Numbers!G85</f>
        <v>1284</v>
      </c>
      <c r="M30" s="27">
        <f>Numbers!F85</f>
        <v>1143</v>
      </c>
      <c r="O30" s="27">
        <f t="shared" si="22"/>
        <v>33.91964285714266</v>
      </c>
      <c r="P30" s="27">
        <f t="shared" si="0"/>
        <v>10</v>
      </c>
      <c r="Q30" s="27">
        <f t="shared" si="1"/>
        <v>12</v>
      </c>
      <c r="R30" s="27">
        <f t="shared" si="2"/>
        <v>88</v>
      </c>
      <c r="S30" s="27">
        <f t="shared" si="3"/>
        <v>46</v>
      </c>
      <c r="T30" s="27">
        <f t="shared" si="4"/>
        <v>21.285714285713766</v>
      </c>
      <c r="U30" s="27">
        <f t="shared" si="5"/>
        <v>77</v>
      </c>
      <c r="V30" s="27">
        <f t="shared" si="6"/>
        <v>74.75</v>
      </c>
      <c r="W30" s="27">
        <f t="shared" si="7"/>
        <v>12</v>
      </c>
      <c r="X30" s="27">
        <f t="shared" si="8"/>
        <v>25</v>
      </c>
      <c r="Y30" s="27">
        <f t="shared" si="8"/>
        <v>10</v>
      </c>
      <c r="AA30" s="33">
        <f t="shared" si="23"/>
        <v>4702.619285714258</v>
      </c>
      <c r="AB30" s="33">
        <f t="shared" si="24"/>
        <v>1386.3999999999999</v>
      </c>
      <c r="AC30" s="33">
        <f t="shared" si="25"/>
        <v>1663.6799999999998</v>
      </c>
      <c r="AD30" s="33">
        <f t="shared" si="26"/>
        <v>12200.32</v>
      </c>
      <c r="AE30" s="33">
        <f t="shared" si="27"/>
        <v>6377.44</v>
      </c>
      <c r="AF30" s="33">
        <f t="shared" si="28"/>
        <v>2951.051428571356</v>
      </c>
      <c r="AG30" s="33">
        <f t="shared" si="29"/>
        <v>10675.279999999999</v>
      </c>
      <c r="AH30" s="33">
        <f t="shared" si="30"/>
        <v>10363.339999999998</v>
      </c>
      <c r="AI30" s="33">
        <f t="shared" si="31"/>
        <v>1663.6799999999998</v>
      </c>
      <c r="AJ30" s="33">
        <f t="shared" si="32"/>
        <v>3465.9999999999995</v>
      </c>
      <c r="AK30" s="33">
        <f t="shared" si="33"/>
        <v>1386.3999999999999</v>
      </c>
      <c r="AM30" s="33">
        <f t="shared" si="10"/>
        <v>185169.44075396823</v>
      </c>
      <c r="AN30" s="33">
        <f t="shared" si="11"/>
        <v>228441.84999999998</v>
      </c>
      <c r="AO30" s="33">
        <f t="shared" si="12"/>
        <v>199392</v>
      </c>
      <c r="AP30" s="33">
        <f t="shared" si="13"/>
        <v>221755.87000000002</v>
      </c>
      <c r="AQ30" s="33">
        <f t="shared" si="14"/>
        <v>195999.65999999997</v>
      </c>
      <c r="AR30" s="33">
        <f t="shared" si="15"/>
        <v>169598.41571428563</v>
      </c>
      <c r="AS30" s="33">
        <f t="shared" si="16"/>
        <v>209439.24000000005</v>
      </c>
      <c r="AT30" s="33">
        <f t="shared" si="17"/>
        <v>162252.45</v>
      </c>
      <c r="AU30" s="33">
        <f t="shared" si="18"/>
        <v>138110.47999999998</v>
      </c>
      <c r="AV30" s="33">
        <f t="shared" si="19"/>
        <v>155081.46333333335</v>
      </c>
      <c r="AW30" s="33">
        <f t="shared" si="19"/>
        <v>139260.35</v>
      </c>
      <c r="AX30" s="33"/>
      <c r="AY30" s="33">
        <f t="shared" si="34"/>
        <v>43272.40924603175</v>
      </c>
      <c r="AZ30" s="33">
        <f t="shared" si="42"/>
        <v>14222.559246031771</v>
      </c>
      <c r="BA30" s="33">
        <f t="shared" si="43"/>
        <v>36586.429246031796</v>
      </c>
      <c r="BB30" s="33">
        <f t="shared" si="44"/>
        <v>10830.219246031746</v>
      </c>
      <c r="BC30" s="33">
        <f t="shared" si="45"/>
        <v>-15571.025039682601</v>
      </c>
      <c r="BD30" s="33">
        <f t="shared" si="46"/>
        <v>24269.79924603182</v>
      </c>
      <c r="BE30" s="33">
        <f t="shared" si="47"/>
        <v>-22916.990753968217</v>
      </c>
      <c r="BF30" s="33">
        <f t="shared" si="48"/>
        <v>-47058.96075396825</v>
      </c>
      <c r="BG30" s="33">
        <f t="shared" si="49"/>
        <v>-30087.97742063488</v>
      </c>
      <c r="BH30" s="33">
        <f t="shared" si="49"/>
        <v>-45909.09075396822</v>
      </c>
      <c r="BI30" s="33"/>
      <c r="BJ30" s="33"/>
    </row>
    <row r="31" spans="1:62" ht="12.75">
      <c r="A31" s="32">
        <v>128.19</v>
      </c>
      <c r="B31" s="22">
        <v>31532</v>
      </c>
      <c r="C31" s="27">
        <f>Numbers!B86</f>
        <v>1498.0714285714287</v>
      </c>
      <c r="D31" s="27">
        <f>Numbers!O86</f>
        <v>1875</v>
      </c>
      <c r="E31" s="27">
        <f>Numbers!N86</f>
        <v>1650</v>
      </c>
      <c r="F31" s="27">
        <f>Numbers!M86</f>
        <v>1739</v>
      </c>
      <c r="G31" s="27">
        <f>Numbers!L86</f>
        <v>1560</v>
      </c>
      <c r="H31" s="27">
        <f>Numbers!K86</f>
        <v>1395.8571428571431</v>
      </c>
      <c r="I31" s="27">
        <f>Numbers!J86</f>
        <v>1650</v>
      </c>
      <c r="J31" s="27">
        <f>Numbers!I86</f>
        <v>1277</v>
      </c>
      <c r="K31" s="27">
        <f>Numbers!H86</f>
        <v>1143</v>
      </c>
      <c r="L31" s="27">
        <f>Numbers!G86</f>
        <v>1259</v>
      </c>
      <c r="M31" s="27">
        <f>Numbers!F86</f>
        <v>1133</v>
      </c>
      <c r="O31" s="27">
        <f t="shared" si="22"/>
        <v>56.35714285714312</v>
      </c>
      <c r="P31" s="27">
        <f t="shared" si="0"/>
        <v>0</v>
      </c>
      <c r="Q31" s="27">
        <f t="shared" si="1"/>
        <v>3</v>
      </c>
      <c r="R31" s="27">
        <f t="shared" si="2"/>
        <v>88</v>
      </c>
      <c r="S31" s="27">
        <f t="shared" si="3"/>
        <v>268</v>
      </c>
      <c r="T31" s="27">
        <f t="shared" si="4"/>
        <v>21.285714285714675</v>
      </c>
      <c r="U31" s="27">
        <f t="shared" si="5"/>
        <v>76</v>
      </c>
      <c r="V31" s="27">
        <f t="shared" si="6"/>
        <v>8</v>
      </c>
      <c r="W31" s="27">
        <f t="shared" si="7"/>
        <v>10</v>
      </c>
      <c r="X31" s="27">
        <f t="shared" si="8"/>
        <v>25</v>
      </c>
      <c r="Y31" s="27">
        <f t="shared" si="8"/>
        <v>150</v>
      </c>
      <c r="AA31" s="33">
        <f t="shared" si="23"/>
        <v>7224.422142857176</v>
      </c>
      <c r="AB31" s="33">
        <f t="shared" si="24"/>
        <v>0</v>
      </c>
      <c r="AC31" s="33">
        <f t="shared" si="25"/>
        <v>384.57</v>
      </c>
      <c r="AD31" s="33">
        <f t="shared" si="26"/>
        <v>11280.72</v>
      </c>
      <c r="AE31" s="33">
        <f t="shared" si="27"/>
        <v>34354.92</v>
      </c>
      <c r="AF31" s="33">
        <f t="shared" si="28"/>
        <v>2728.615714285764</v>
      </c>
      <c r="AG31" s="33">
        <f t="shared" si="29"/>
        <v>9742.44</v>
      </c>
      <c r="AH31" s="33">
        <f t="shared" si="30"/>
        <v>1025.52</v>
      </c>
      <c r="AI31" s="33">
        <f t="shared" si="31"/>
        <v>1281.9</v>
      </c>
      <c r="AJ31" s="33">
        <f t="shared" si="32"/>
        <v>3204.75</v>
      </c>
      <c r="AK31" s="33">
        <f t="shared" si="33"/>
        <v>19228.5</v>
      </c>
      <c r="AM31" s="33">
        <f t="shared" si="10"/>
        <v>180466.82146825397</v>
      </c>
      <c r="AN31" s="33">
        <f t="shared" si="11"/>
        <v>227055.44999999998</v>
      </c>
      <c r="AO31" s="33">
        <f t="shared" si="12"/>
        <v>197728.32</v>
      </c>
      <c r="AP31" s="33">
        <f t="shared" si="13"/>
        <v>209555.55000000002</v>
      </c>
      <c r="AQ31" s="33">
        <f t="shared" si="14"/>
        <v>189622.21999999997</v>
      </c>
      <c r="AR31" s="33">
        <f t="shared" si="15"/>
        <v>166647.36428571428</v>
      </c>
      <c r="AS31" s="33">
        <f t="shared" si="16"/>
        <v>198763.96000000005</v>
      </c>
      <c r="AT31" s="33">
        <f t="shared" si="17"/>
        <v>151889.11000000002</v>
      </c>
      <c r="AU31" s="33">
        <f t="shared" si="18"/>
        <v>136446.8</v>
      </c>
      <c r="AV31" s="33">
        <f t="shared" si="19"/>
        <v>151615.46333333335</v>
      </c>
      <c r="AW31" s="33">
        <f t="shared" si="19"/>
        <v>137873.95</v>
      </c>
      <c r="AX31" s="33"/>
      <c r="AY31" s="33">
        <f t="shared" si="34"/>
        <v>46588.62853174601</v>
      </c>
      <c r="AZ31" s="33">
        <f t="shared" si="42"/>
        <v>17261.498531746038</v>
      </c>
      <c r="BA31" s="33">
        <f t="shared" si="43"/>
        <v>29088.72853174605</v>
      </c>
      <c r="BB31" s="33">
        <f t="shared" si="44"/>
        <v>9155.398531746003</v>
      </c>
      <c r="BC31" s="33">
        <f t="shared" si="45"/>
        <v>-13819.457182539685</v>
      </c>
      <c r="BD31" s="33">
        <f t="shared" si="46"/>
        <v>18297.13853174608</v>
      </c>
      <c r="BE31" s="33">
        <f t="shared" si="47"/>
        <v>-28577.711468253954</v>
      </c>
      <c r="BF31" s="33">
        <f t="shared" si="48"/>
        <v>-44020.02146825398</v>
      </c>
      <c r="BG31" s="33">
        <f t="shared" si="49"/>
        <v>-28851.35813492062</v>
      </c>
      <c r="BH31" s="33">
        <f t="shared" si="49"/>
        <v>-42592.87146825396</v>
      </c>
      <c r="BI31" s="33"/>
      <c r="BJ31" s="33"/>
    </row>
    <row r="32" spans="1:62" ht="12.75">
      <c r="A32" s="32">
        <v>128.19</v>
      </c>
      <c r="B32" s="22">
        <v>31502</v>
      </c>
      <c r="C32" s="27">
        <f>Numbers!B87</f>
        <v>1441.7142857142856</v>
      </c>
      <c r="D32" s="27">
        <f>Numbers!O87</f>
        <v>1875</v>
      </c>
      <c r="E32" s="27">
        <f>Numbers!N87</f>
        <v>1647</v>
      </c>
      <c r="F32" s="27">
        <f>Numbers!M87</f>
        <v>1651</v>
      </c>
      <c r="G32" s="27">
        <f>Numbers!L87</f>
        <v>1292</v>
      </c>
      <c r="H32" s="27">
        <f>Numbers!K87</f>
        <v>1374.5714285714284</v>
      </c>
      <c r="I32" s="27">
        <f>Numbers!J87</f>
        <v>1574</v>
      </c>
      <c r="J32" s="27">
        <f>Numbers!I87</f>
        <v>1269</v>
      </c>
      <c r="K32" s="27">
        <f>Numbers!H87</f>
        <v>1133</v>
      </c>
      <c r="L32" s="27">
        <f>Numbers!G87</f>
        <v>1234</v>
      </c>
      <c r="M32" s="27">
        <f>Numbers!F87</f>
        <v>983</v>
      </c>
      <c r="O32" s="27">
        <f t="shared" si="22"/>
        <v>64.8988095238094</v>
      </c>
      <c r="P32" s="27">
        <f t="shared" si="0"/>
        <v>20</v>
      </c>
      <c r="Q32" s="27">
        <f t="shared" si="1"/>
        <v>6</v>
      </c>
      <c r="R32" s="27">
        <f t="shared" si="2"/>
        <v>88</v>
      </c>
      <c r="S32" s="27">
        <f t="shared" si="3"/>
        <v>37</v>
      </c>
      <c r="T32" s="27">
        <f t="shared" si="4"/>
        <v>21.28571428571422</v>
      </c>
      <c r="U32" s="27">
        <f t="shared" si="5"/>
        <v>77</v>
      </c>
      <c r="V32" s="27">
        <f t="shared" si="6"/>
        <v>18</v>
      </c>
      <c r="W32" s="27">
        <f t="shared" si="7"/>
        <v>7.5</v>
      </c>
      <c r="X32" s="27">
        <f t="shared" si="8"/>
        <v>25</v>
      </c>
      <c r="Y32" s="27">
        <f t="shared" si="8"/>
        <v>97</v>
      </c>
      <c r="AA32" s="33">
        <f t="shared" si="23"/>
        <v>8319.378392857128</v>
      </c>
      <c r="AB32" s="33">
        <f t="shared" si="24"/>
        <v>2563.8</v>
      </c>
      <c r="AC32" s="33">
        <f t="shared" si="25"/>
        <v>769.14</v>
      </c>
      <c r="AD32" s="33">
        <f t="shared" si="26"/>
        <v>11280.72</v>
      </c>
      <c r="AE32" s="33">
        <f t="shared" si="27"/>
        <v>4743.03</v>
      </c>
      <c r="AF32" s="33">
        <f t="shared" si="28"/>
        <v>2728.615714285706</v>
      </c>
      <c r="AG32" s="33">
        <f t="shared" si="29"/>
        <v>9870.63</v>
      </c>
      <c r="AH32" s="33">
        <f t="shared" si="30"/>
        <v>2307.42</v>
      </c>
      <c r="AI32" s="33">
        <f t="shared" si="31"/>
        <v>961.425</v>
      </c>
      <c r="AJ32" s="33">
        <f t="shared" si="32"/>
        <v>3204.75</v>
      </c>
      <c r="AK32" s="33">
        <f t="shared" si="33"/>
        <v>12434.43</v>
      </c>
      <c r="AM32" s="33">
        <f t="shared" si="10"/>
        <v>173242.39932539678</v>
      </c>
      <c r="AN32" s="33">
        <f t="shared" si="11"/>
        <v>227055.44999999998</v>
      </c>
      <c r="AO32" s="33">
        <f t="shared" si="12"/>
        <v>197343.75</v>
      </c>
      <c r="AP32" s="33">
        <f t="shared" si="13"/>
        <v>198274.83000000002</v>
      </c>
      <c r="AQ32" s="33">
        <f t="shared" si="14"/>
        <v>155267.3</v>
      </c>
      <c r="AR32" s="33">
        <f t="shared" si="15"/>
        <v>163918.74857142853</v>
      </c>
      <c r="AS32" s="33">
        <f t="shared" si="16"/>
        <v>189021.52000000005</v>
      </c>
      <c r="AT32" s="33">
        <f t="shared" si="17"/>
        <v>150863.59000000003</v>
      </c>
      <c r="AU32" s="33">
        <f t="shared" si="18"/>
        <v>135164.9</v>
      </c>
      <c r="AV32" s="33">
        <f t="shared" si="19"/>
        <v>148410.71333333335</v>
      </c>
      <c r="AW32" s="33">
        <f t="shared" si="19"/>
        <v>118645.45000000001</v>
      </c>
      <c r="AX32" s="33"/>
      <c r="AY32" s="33">
        <f t="shared" si="34"/>
        <v>53813.050674603204</v>
      </c>
      <c r="AZ32" s="33">
        <f t="shared" si="42"/>
        <v>24101.35067460322</v>
      </c>
      <c r="BA32" s="33">
        <f t="shared" si="43"/>
        <v>25032.430674603238</v>
      </c>
      <c r="BB32" s="33">
        <f t="shared" si="44"/>
        <v>-17975.09932539679</v>
      </c>
      <c r="BC32" s="33">
        <f t="shared" si="45"/>
        <v>-9323.65075396825</v>
      </c>
      <c r="BD32" s="33">
        <f t="shared" si="46"/>
        <v>15779.12067460327</v>
      </c>
      <c r="BE32" s="33">
        <f t="shared" si="47"/>
        <v>-22378.809325396753</v>
      </c>
      <c r="BF32" s="33">
        <f t="shared" si="48"/>
        <v>-38077.499325396784</v>
      </c>
      <c r="BG32" s="33">
        <f t="shared" si="49"/>
        <v>-24831.68599206343</v>
      </c>
      <c r="BH32" s="33">
        <f t="shared" si="49"/>
        <v>-54596.94932539677</v>
      </c>
      <c r="BI32" s="33"/>
      <c r="BJ32" s="33"/>
    </row>
    <row r="33" spans="1:62" ht="12.75">
      <c r="A33" s="32">
        <v>125.45</v>
      </c>
      <c r="B33" s="22">
        <v>31471</v>
      </c>
      <c r="C33" s="27">
        <f>Numbers!B88</f>
        <v>1376.8154761904761</v>
      </c>
      <c r="D33" s="27">
        <f>Numbers!O88</f>
        <v>1855</v>
      </c>
      <c r="E33" s="27">
        <f>Numbers!N88</f>
        <v>1641</v>
      </c>
      <c r="F33" s="27">
        <f>Numbers!M88</f>
        <v>1563</v>
      </c>
      <c r="G33" s="27">
        <f>Numbers!L88</f>
        <v>1255</v>
      </c>
      <c r="H33" s="27">
        <f>Numbers!K88</f>
        <v>1353.2857142857142</v>
      </c>
      <c r="I33" s="27">
        <f>Numbers!J88</f>
        <v>1497</v>
      </c>
      <c r="J33" s="27">
        <f>Numbers!I88</f>
        <v>1251</v>
      </c>
      <c r="K33" s="27">
        <f>Numbers!H88</f>
        <v>1125.5</v>
      </c>
      <c r="L33" s="27">
        <f>Numbers!G88</f>
        <v>1209</v>
      </c>
      <c r="M33" s="27">
        <f>Numbers!F88</f>
        <v>886</v>
      </c>
      <c r="O33" s="27">
        <f t="shared" si="22"/>
        <v>101.23214285714289</v>
      </c>
      <c r="P33" s="27">
        <f t="shared" si="0"/>
        <v>530</v>
      </c>
      <c r="Q33" s="27">
        <f t="shared" si="1"/>
        <v>12</v>
      </c>
      <c r="R33" s="27">
        <f t="shared" si="2"/>
        <v>159</v>
      </c>
      <c r="S33" s="27">
        <f t="shared" si="3"/>
        <v>0</v>
      </c>
      <c r="T33" s="27">
        <f t="shared" si="4"/>
        <v>21.28571428571422</v>
      </c>
      <c r="U33" s="27">
        <f t="shared" si="5"/>
        <v>76</v>
      </c>
      <c r="V33" s="27">
        <f t="shared" si="6"/>
        <v>8</v>
      </c>
      <c r="W33" s="27">
        <f t="shared" si="7"/>
        <v>7.5</v>
      </c>
      <c r="X33" s="27">
        <f t="shared" si="8"/>
        <v>111</v>
      </c>
      <c r="Y33" s="27">
        <f t="shared" si="8"/>
        <v>60</v>
      </c>
      <c r="AA33" s="33">
        <f t="shared" si="23"/>
        <v>12699.572321428575</v>
      </c>
      <c r="AB33" s="33">
        <f t="shared" si="24"/>
        <v>66488.5</v>
      </c>
      <c r="AC33" s="33">
        <f t="shared" si="25"/>
        <v>1505.4</v>
      </c>
      <c r="AD33" s="33">
        <f t="shared" si="26"/>
        <v>19946.55</v>
      </c>
      <c r="AE33" s="33">
        <f t="shared" si="27"/>
        <v>0</v>
      </c>
      <c r="AF33" s="33">
        <f t="shared" si="28"/>
        <v>2670.2928571428492</v>
      </c>
      <c r="AG33" s="33">
        <f t="shared" si="29"/>
        <v>9534.2</v>
      </c>
      <c r="AH33" s="33">
        <f t="shared" si="30"/>
        <v>1003.6</v>
      </c>
      <c r="AI33" s="33">
        <f t="shared" si="31"/>
        <v>940.875</v>
      </c>
      <c r="AJ33" s="33">
        <f t="shared" si="32"/>
        <v>13924.95</v>
      </c>
      <c r="AK33" s="33">
        <f t="shared" si="33"/>
        <v>7527</v>
      </c>
      <c r="AM33" s="33">
        <f t="shared" si="10"/>
        <v>164923.02093253966</v>
      </c>
      <c r="AN33" s="33">
        <f t="shared" si="11"/>
        <v>224491.65</v>
      </c>
      <c r="AO33" s="33">
        <f t="shared" si="12"/>
        <v>196574.61</v>
      </c>
      <c r="AP33" s="33">
        <f t="shared" si="13"/>
        <v>186994.11000000002</v>
      </c>
      <c r="AQ33" s="33">
        <f t="shared" si="14"/>
        <v>150524.27</v>
      </c>
      <c r="AR33" s="33">
        <f t="shared" si="15"/>
        <v>161190.13285714283</v>
      </c>
      <c r="AS33" s="33">
        <f t="shared" si="16"/>
        <v>179150.89000000004</v>
      </c>
      <c r="AT33" s="33">
        <f t="shared" si="17"/>
        <v>148556.17</v>
      </c>
      <c r="AU33" s="33">
        <f t="shared" si="18"/>
        <v>134203.475</v>
      </c>
      <c r="AV33" s="33">
        <f t="shared" si="19"/>
        <v>145205.96333333335</v>
      </c>
      <c r="AW33" s="33">
        <f t="shared" si="19"/>
        <v>106211.02</v>
      </c>
      <c r="AX33" s="33"/>
      <c r="AY33" s="33">
        <f t="shared" si="34"/>
        <v>59568.62906746034</v>
      </c>
      <c r="AZ33" s="33">
        <f t="shared" si="42"/>
        <v>31651.58906746033</v>
      </c>
      <c r="BA33" s="33">
        <f t="shared" si="43"/>
        <v>22071.089067460358</v>
      </c>
      <c r="BB33" s="33">
        <f t="shared" si="44"/>
        <v>-14398.750932539668</v>
      </c>
      <c r="BC33" s="33">
        <f t="shared" si="45"/>
        <v>-3732.888075396826</v>
      </c>
      <c r="BD33" s="33">
        <f t="shared" si="46"/>
        <v>14227.869067460386</v>
      </c>
      <c r="BE33" s="33">
        <f t="shared" si="47"/>
        <v>-16366.850932539644</v>
      </c>
      <c r="BF33" s="33">
        <f t="shared" si="48"/>
        <v>-30719.54593253965</v>
      </c>
      <c r="BG33" s="33">
        <f t="shared" si="49"/>
        <v>-19717.05759920631</v>
      </c>
      <c r="BH33" s="33">
        <f t="shared" si="49"/>
        <v>-58712.00093253965</v>
      </c>
      <c r="BI33" s="33"/>
      <c r="BJ33" s="33"/>
    </row>
    <row r="34" spans="1:62" ht="12.75">
      <c r="A34" s="32">
        <v>125.45</v>
      </c>
      <c r="B34" s="22">
        <v>31443</v>
      </c>
      <c r="C34" s="27">
        <f>Numbers!B89</f>
        <v>1275.5833333333333</v>
      </c>
      <c r="D34" s="27">
        <f>Numbers!O89</f>
        <v>1325</v>
      </c>
      <c r="E34" s="27">
        <f>Numbers!N89</f>
        <v>1629</v>
      </c>
      <c r="F34" s="27">
        <f>Numbers!M89</f>
        <v>1404</v>
      </c>
      <c r="G34" s="27">
        <f>Numbers!L89</f>
        <v>1255</v>
      </c>
      <c r="H34" s="27">
        <f>Numbers!K89</f>
        <v>1332</v>
      </c>
      <c r="I34" s="27">
        <f>Numbers!J89</f>
        <v>1421</v>
      </c>
      <c r="J34" s="27">
        <f>Numbers!I89</f>
        <v>1243</v>
      </c>
      <c r="K34" s="27">
        <f>Numbers!H89</f>
        <v>1118</v>
      </c>
      <c r="L34" s="27">
        <f>Numbers!G89</f>
        <v>1098</v>
      </c>
      <c r="M34" s="27">
        <f>Numbers!F89</f>
        <v>826</v>
      </c>
      <c r="O34" s="27">
        <f t="shared" si="22"/>
        <v>57.25</v>
      </c>
      <c r="P34" s="27">
        <f t="shared" si="0"/>
        <v>75</v>
      </c>
      <c r="Q34" s="27">
        <f t="shared" si="1"/>
        <v>109</v>
      </c>
      <c r="R34" s="27">
        <f t="shared" si="2"/>
        <v>38</v>
      </c>
      <c r="S34" s="27">
        <f t="shared" si="3"/>
        <v>3</v>
      </c>
      <c r="T34" s="27">
        <f t="shared" si="4"/>
        <v>37</v>
      </c>
      <c r="U34" s="27">
        <f t="shared" si="5"/>
        <v>77</v>
      </c>
      <c r="V34" s="27">
        <f t="shared" si="6"/>
        <v>8</v>
      </c>
      <c r="W34" s="27">
        <f t="shared" si="7"/>
        <v>27</v>
      </c>
      <c r="X34" s="27">
        <f t="shared" si="8"/>
        <v>72</v>
      </c>
      <c r="Y34" s="27">
        <f t="shared" si="8"/>
        <v>60</v>
      </c>
      <c r="AA34" s="33">
        <f t="shared" si="23"/>
        <v>7182.0125</v>
      </c>
      <c r="AB34" s="33">
        <f t="shared" si="24"/>
        <v>9408.75</v>
      </c>
      <c r="AC34" s="33">
        <f t="shared" si="25"/>
        <v>13674.050000000001</v>
      </c>
      <c r="AD34" s="33">
        <f t="shared" si="26"/>
        <v>4767.1</v>
      </c>
      <c r="AE34" s="33">
        <f t="shared" si="27"/>
        <v>376.35</v>
      </c>
      <c r="AF34" s="33">
        <f t="shared" si="28"/>
        <v>4641.650000000001</v>
      </c>
      <c r="AG34" s="33">
        <f t="shared" si="29"/>
        <v>9659.65</v>
      </c>
      <c r="AH34" s="33">
        <f t="shared" si="30"/>
        <v>1003.6</v>
      </c>
      <c r="AI34" s="33">
        <f t="shared" si="31"/>
        <v>3387.15</v>
      </c>
      <c r="AJ34" s="33">
        <f t="shared" si="32"/>
        <v>9032.4</v>
      </c>
      <c r="AK34" s="33">
        <f t="shared" si="33"/>
        <v>7527</v>
      </c>
      <c r="AM34" s="33">
        <f t="shared" si="10"/>
        <v>152223.4486111111</v>
      </c>
      <c r="AN34" s="33">
        <f t="shared" si="11"/>
        <v>158003.15</v>
      </c>
      <c r="AO34" s="33">
        <f t="shared" si="12"/>
        <v>195069.21</v>
      </c>
      <c r="AP34" s="33">
        <f t="shared" si="13"/>
        <v>167047.56000000003</v>
      </c>
      <c r="AQ34" s="33">
        <f t="shared" si="14"/>
        <v>150524.27</v>
      </c>
      <c r="AR34" s="33">
        <f t="shared" si="15"/>
        <v>158519.83999999997</v>
      </c>
      <c r="AS34" s="33">
        <f t="shared" si="16"/>
        <v>169616.69000000003</v>
      </c>
      <c r="AT34" s="33">
        <f t="shared" si="17"/>
        <v>147552.57</v>
      </c>
      <c r="AU34" s="33">
        <f t="shared" si="18"/>
        <v>133262.6</v>
      </c>
      <c r="AV34" s="33">
        <f t="shared" si="19"/>
        <v>131281.01333333334</v>
      </c>
      <c r="AW34" s="33">
        <f t="shared" si="19"/>
        <v>98684.02</v>
      </c>
      <c r="AX34" s="33"/>
      <c r="AY34" s="33">
        <f t="shared" si="34"/>
        <v>5779.701388888905</v>
      </c>
      <c r="AZ34" s="33">
        <f t="shared" si="42"/>
        <v>42845.7613888889</v>
      </c>
      <c r="BA34" s="33">
        <f t="shared" si="43"/>
        <v>14824.111388888938</v>
      </c>
      <c r="BB34" s="33">
        <f t="shared" si="44"/>
        <v>-1699.1786111110996</v>
      </c>
      <c r="BC34" s="33">
        <f t="shared" si="45"/>
        <v>6296.391388888878</v>
      </c>
      <c r="BD34" s="33">
        <f t="shared" si="46"/>
        <v>17393.241388888942</v>
      </c>
      <c r="BE34" s="33">
        <f t="shared" si="47"/>
        <v>-4670.878611111082</v>
      </c>
      <c r="BF34" s="33">
        <f t="shared" si="48"/>
        <v>-18960.848611111083</v>
      </c>
      <c r="BG34" s="33">
        <f t="shared" si="49"/>
        <v>-20942.435277777753</v>
      </c>
      <c r="BH34" s="33">
        <f t="shared" si="49"/>
        <v>-53539.428611111085</v>
      </c>
      <c r="BI34" s="33"/>
      <c r="BJ34" s="33"/>
    </row>
    <row r="35" spans="1:62" ht="12.75">
      <c r="A35" s="32">
        <v>125.45</v>
      </c>
      <c r="B35" s="22">
        <v>31412</v>
      </c>
      <c r="C35" s="27">
        <f>Numbers!B90</f>
        <v>1218.3333333333333</v>
      </c>
      <c r="D35" s="27">
        <f>Numbers!O90</f>
        <v>1250</v>
      </c>
      <c r="E35" s="27">
        <f>Numbers!N90</f>
        <v>1520</v>
      </c>
      <c r="F35" s="27">
        <f>Numbers!M90</f>
        <v>1366</v>
      </c>
      <c r="G35" s="27">
        <f>Numbers!L90</f>
        <v>1252</v>
      </c>
      <c r="H35" s="27">
        <f>Numbers!K90</f>
        <v>1295</v>
      </c>
      <c r="I35" s="27">
        <f>Numbers!J90</f>
        <v>1344</v>
      </c>
      <c r="J35" s="27">
        <f>Numbers!I90</f>
        <v>1235</v>
      </c>
      <c r="K35" s="27">
        <f>Numbers!H90</f>
        <v>1091</v>
      </c>
      <c r="L35" s="27">
        <f>Numbers!G90</f>
        <v>1026</v>
      </c>
      <c r="M35" s="27">
        <f>Numbers!F90</f>
        <v>766</v>
      </c>
      <c r="O35" s="27">
        <f t="shared" si="22"/>
        <v>74.86111111111086</v>
      </c>
      <c r="P35" s="27">
        <f t="shared" si="0"/>
        <v>45</v>
      </c>
      <c r="Q35" s="27">
        <f t="shared" si="1"/>
        <v>158</v>
      </c>
      <c r="R35" s="27">
        <f t="shared" si="2"/>
        <v>34</v>
      </c>
      <c r="S35" s="27">
        <f t="shared" si="3"/>
        <v>238</v>
      </c>
      <c r="T35" s="27">
        <f t="shared" si="4"/>
        <v>37</v>
      </c>
      <c r="U35" s="27">
        <f t="shared" si="5"/>
        <v>76</v>
      </c>
      <c r="V35" s="27">
        <f t="shared" si="6"/>
        <v>6</v>
      </c>
      <c r="W35" s="27">
        <f t="shared" si="7"/>
        <v>66</v>
      </c>
      <c r="X35" s="27">
        <f t="shared" si="8"/>
        <v>78.33333333333326</v>
      </c>
      <c r="Y35" s="27">
        <f t="shared" si="8"/>
        <v>42</v>
      </c>
      <c r="AA35" s="33">
        <f t="shared" si="23"/>
        <v>9391.326388888858</v>
      </c>
      <c r="AB35" s="33">
        <f t="shared" si="24"/>
        <v>5645.25</v>
      </c>
      <c r="AC35" s="33">
        <f t="shared" si="25"/>
        <v>19821.100000000002</v>
      </c>
      <c r="AD35" s="33">
        <f t="shared" si="26"/>
        <v>4265.3</v>
      </c>
      <c r="AE35" s="33">
        <f t="shared" si="27"/>
        <v>29857.100000000002</v>
      </c>
      <c r="AF35" s="33">
        <f t="shared" si="28"/>
        <v>4641.650000000001</v>
      </c>
      <c r="AG35" s="33">
        <f t="shared" si="29"/>
        <v>9534.2</v>
      </c>
      <c r="AH35" s="33">
        <f t="shared" si="30"/>
        <v>752.7</v>
      </c>
      <c r="AI35" s="33">
        <f t="shared" si="31"/>
        <v>8279.7</v>
      </c>
      <c r="AJ35" s="33">
        <f t="shared" si="32"/>
        <v>9826.916666666657</v>
      </c>
      <c r="AK35" s="33">
        <f t="shared" si="33"/>
        <v>5268.900000000001</v>
      </c>
      <c r="AM35" s="33">
        <f t="shared" si="10"/>
        <v>145041.43611111108</v>
      </c>
      <c r="AN35" s="33">
        <f t="shared" si="11"/>
        <v>148594.4</v>
      </c>
      <c r="AO35" s="33">
        <f t="shared" si="12"/>
        <v>181395.16</v>
      </c>
      <c r="AP35" s="33">
        <f t="shared" si="13"/>
        <v>162280.46000000002</v>
      </c>
      <c r="AQ35" s="33">
        <f t="shared" si="14"/>
        <v>150147.91999999998</v>
      </c>
      <c r="AR35" s="33">
        <f t="shared" si="15"/>
        <v>153878.18999999997</v>
      </c>
      <c r="AS35" s="33">
        <f t="shared" si="16"/>
        <v>159957.04000000004</v>
      </c>
      <c r="AT35" s="33">
        <f t="shared" si="17"/>
        <v>146548.97</v>
      </c>
      <c r="AU35" s="33">
        <f t="shared" si="18"/>
        <v>129875.45</v>
      </c>
      <c r="AV35" s="33">
        <f t="shared" si="19"/>
        <v>122248.61333333333</v>
      </c>
      <c r="AW35" s="33">
        <f t="shared" si="19"/>
        <v>91157.02</v>
      </c>
      <c r="AX35" s="33"/>
      <c r="AY35" s="33">
        <f t="shared" si="34"/>
        <v>3552.9638888889167</v>
      </c>
      <c r="AZ35" s="33">
        <f t="shared" si="42"/>
        <v>36353.723888888926</v>
      </c>
      <c r="BA35" s="33">
        <f t="shared" si="43"/>
        <v>17239.023888888943</v>
      </c>
      <c r="BB35" s="33">
        <f t="shared" si="44"/>
        <v>5106.483888888906</v>
      </c>
      <c r="BC35" s="33">
        <f t="shared" si="45"/>
        <v>8836.753888888896</v>
      </c>
      <c r="BD35" s="33">
        <f t="shared" si="46"/>
        <v>14915.60388888896</v>
      </c>
      <c r="BE35" s="33">
        <f t="shared" si="47"/>
        <v>1507.5338888889237</v>
      </c>
      <c r="BF35" s="33">
        <f t="shared" si="48"/>
        <v>-15165.98611111108</v>
      </c>
      <c r="BG35" s="33">
        <f t="shared" si="49"/>
        <v>-22792.82277777775</v>
      </c>
      <c r="BH35" s="33">
        <f t="shared" si="49"/>
        <v>-53884.41611111107</v>
      </c>
      <c r="BI35" s="33"/>
      <c r="BJ35" s="33"/>
    </row>
    <row r="36" spans="1:62" ht="12.75">
      <c r="A36" s="32">
        <v>118.63</v>
      </c>
      <c r="B36" s="26">
        <v>31381</v>
      </c>
      <c r="C36" s="27">
        <f>Numbers!B91</f>
        <v>1143.4722222222224</v>
      </c>
      <c r="D36" s="27">
        <f>Numbers!O91</f>
        <v>1205</v>
      </c>
      <c r="E36" s="27">
        <f>Numbers!N91</f>
        <v>1362</v>
      </c>
      <c r="F36" s="27">
        <f>Numbers!M91</f>
        <v>1332</v>
      </c>
      <c r="G36" s="27">
        <f>Numbers!L91</f>
        <v>1014</v>
      </c>
      <c r="H36" s="27">
        <f>Numbers!K91</f>
        <v>1258</v>
      </c>
      <c r="I36" s="27">
        <f>Numbers!J91</f>
        <v>1268</v>
      </c>
      <c r="J36" s="27">
        <f>Numbers!I91</f>
        <v>1229</v>
      </c>
      <c r="K36" s="27">
        <f>Numbers!H91</f>
        <v>1025</v>
      </c>
      <c r="L36" s="27">
        <f>Numbers!G91</f>
        <v>947.6666666666667</v>
      </c>
      <c r="M36" s="27">
        <f>Numbers!F91</f>
        <v>724</v>
      </c>
      <c r="O36" s="27">
        <f t="shared" si="22"/>
        <v>49.11111111111131</v>
      </c>
      <c r="P36" s="27">
        <f t="shared" si="0"/>
        <v>40</v>
      </c>
      <c r="Q36" s="27">
        <f t="shared" si="1"/>
        <v>68</v>
      </c>
      <c r="R36" s="27">
        <f t="shared" si="2"/>
        <v>34</v>
      </c>
      <c r="S36" s="27">
        <f t="shared" si="3"/>
        <v>33</v>
      </c>
      <c r="T36" s="27">
        <f t="shared" si="4"/>
        <v>37</v>
      </c>
      <c r="U36" s="27">
        <f t="shared" si="5"/>
        <v>77</v>
      </c>
      <c r="V36" s="27">
        <f t="shared" si="6"/>
        <v>33</v>
      </c>
      <c r="W36" s="27">
        <f t="shared" si="7"/>
        <v>58</v>
      </c>
      <c r="X36" s="27">
        <f t="shared" si="8"/>
        <v>78.33333333333348</v>
      </c>
      <c r="Y36" s="27">
        <f t="shared" si="8"/>
        <v>91</v>
      </c>
      <c r="AA36" s="33">
        <f t="shared" si="23"/>
        <v>5826.051111111135</v>
      </c>
      <c r="AB36" s="33">
        <f t="shared" si="24"/>
        <v>4745.2</v>
      </c>
      <c r="AC36" s="33">
        <f t="shared" si="25"/>
        <v>8066.84</v>
      </c>
      <c r="AD36" s="33">
        <f t="shared" si="26"/>
        <v>4033.42</v>
      </c>
      <c r="AE36" s="33">
        <f t="shared" si="27"/>
        <v>3914.79</v>
      </c>
      <c r="AF36" s="33">
        <f t="shared" si="28"/>
        <v>4389.3099999999995</v>
      </c>
      <c r="AG36" s="33">
        <f t="shared" si="29"/>
        <v>9134.51</v>
      </c>
      <c r="AH36" s="33">
        <f t="shared" si="30"/>
        <v>3914.79</v>
      </c>
      <c r="AI36" s="33">
        <f t="shared" si="31"/>
        <v>6880.54</v>
      </c>
      <c r="AJ36" s="33">
        <f t="shared" si="32"/>
        <v>9292.68333333335</v>
      </c>
      <c r="AK36" s="33">
        <f t="shared" si="33"/>
        <v>10795.33</v>
      </c>
      <c r="AM36" s="33">
        <f t="shared" si="10"/>
        <v>135650.10972222223</v>
      </c>
      <c r="AN36" s="33">
        <f t="shared" si="11"/>
        <v>142949.15</v>
      </c>
      <c r="AO36" s="33">
        <f t="shared" si="12"/>
        <v>161574.06</v>
      </c>
      <c r="AP36" s="33">
        <f t="shared" si="13"/>
        <v>158015.16000000003</v>
      </c>
      <c r="AQ36" s="33">
        <f t="shared" si="14"/>
        <v>120290.81999999998</v>
      </c>
      <c r="AR36" s="33">
        <f t="shared" si="15"/>
        <v>149236.53999999998</v>
      </c>
      <c r="AS36" s="33">
        <f t="shared" si="16"/>
        <v>150422.84000000003</v>
      </c>
      <c r="AT36" s="33">
        <f t="shared" si="17"/>
        <v>145796.27</v>
      </c>
      <c r="AU36" s="33">
        <f t="shared" si="18"/>
        <v>121595.75</v>
      </c>
      <c r="AV36" s="33">
        <f t="shared" si="19"/>
        <v>112421.69666666667</v>
      </c>
      <c r="AW36" s="33">
        <f t="shared" si="19"/>
        <v>85888.12000000001</v>
      </c>
      <c r="AX36" s="33"/>
      <c r="AY36" s="33">
        <f t="shared" si="34"/>
        <v>7299.040277777764</v>
      </c>
      <c r="AZ36" s="33">
        <f t="shared" si="42"/>
        <v>25923.950277777767</v>
      </c>
      <c r="BA36" s="33">
        <f t="shared" si="43"/>
        <v>22365.050277777802</v>
      </c>
      <c r="BB36" s="33">
        <f t="shared" si="44"/>
        <v>-15359.289722222253</v>
      </c>
      <c r="BC36" s="33">
        <f t="shared" si="45"/>
        <v>13586.430277777748</v>
      </c>
      <c r="BD36" s="33">
        <f t="shared" si="46"/>
        <v>14772.730277777795</v>
      </c>
      <c r="BE36" s="33">
        <f t="shared" si="47"/>
        <v>10146.160277777759</v>
      </c>
      <c r="BF36" s="33">
        <f t="shared" si="48"/>
        <v>-14054.35972222223</v>
      </c>
      <c r="BG36" s="33">
        <f t="shared" si="49"/>
        <v>-23228.41305555556</v>
      </c>
      <c r="BH36" s="33">
        <f t="shared" si="49"/>
        <v>-49761.98972222222</v>
      </c>
      <c r="BI36" s="33"/>
      <c r="BJ36" s="33"/>
    </row>
    <row r="37" spans="1:62" ht="12.75">
      <c r="A37" s="32">
        <v>118.63</v>
      </c>
      <c r="B37" s="22">
        <v>31351</v>
      </c>
      <c r="C37" s="27">
        <f>Numbers!B92</f>
        <v>1094.361111111111</v>
      </c>
      <c r="D37" s="27">
        <f>Numbers!O92</f>
        <v>1165</v>
      </c>
      <c r="E37" s="27">
        <f>Numbers!N92</f>
        <v>1294</v>
      </c>
      <c r="F37" s="27">
        <f>Numbers!M92</f>
        <v>1298</v>
      </c>
      <c r="G37" s="27">
        <f>Numbers!L92</f>
        <v>981</v>
      </c>
      <c r="H37" s="27">
        <f>Numbers!K92</f>
        <v>1221</v>
      </c>
      <c r="I37" s="27">
        <f>Numbers!J92</f>
        <v>1191</v>
      </c>
      <c r="J37" s="27">
        <f>Numbers!I92</f>
        <v>1196</v>
      </c>
      <c r="K37" s="27">
        <f>Numbers!H92</f>
        <v>967</v>
      </c>
      <c r="L37" s="27">
        <f>Numbers!G92</f>
        <v>869.3333333333333</v>
      </c>
      <c r="M37" s="27">
        <f>Numbers!F92</f>
        <v>633</v>
      </c>
      <c r="O37" s="27">
        <f t="shared" si="22"/>
        <v>51.54292929292933</v>
      </c>
      <c r="P37" s="27">
        <f t="shared" si="0"/>
        <v>50</v>
      </c>
      <c r="Q37" s="27">
        <f t="shared" si="1"/>
        <v>7</v>
      </c>
      <c r="R37" s="27">
        <f t="shared" si="2"/>
        <v>34</v>
      </c>
      <c r="S37" s="27">
        <f t="shared" si="3"/>
        <v>33</v>
      </c>
      <c r="T37" s="27">
        <f t="shared" si="4"/>
        <v>37</v>
      </c>
      <c r="U37" s="27">
        <f t="shared" si="5"/>
        <v>76</v>
      </c>
      <c r="V37" s="27">
        <f t="shared" si="6"/>
        <v>1196</v>
      </c>
      <c r="W37" s="27">
        <f t="shared" si="7"/>
        <v>45</v>
      </c>
      <c r="X37" s="27">
        <f t="shared" si="8"/>
        <v>78.33333333333326</v>
      </c>
      <c r="Y37" s="27">
        <f t="shared" si="8"/>
        <v>13</v>
      </c>
      <c r="AA37" s="33">
        <f t="shared" si="23"/>
        <v>6114.537702020206</v>
      </c>
      <c r="AB37" s="33">
        <f t="shared" si="24"/>
        <v>5931.5</v>
      </c>
      <c r="AC37" s="33">
        <f t="shared" si="25"/>
        <v>830.41</v>
      </c>
      <c r="AD37" s="33">
        <f t="shared" si="26"/>
        <v>4033.42</v>
      </c>
      <c r="AE37" s="33">
        <f t="shared" si="27"/>
        <v>3914.79</v>
      </c>
      <c r="AF37" s="33">
        <f t="shared" si="28"/>
        <v>4389.3099999999995</v>
      </c>
      <c r="AG37" s="33">
        <f t="shared" si="29"/>
        <v>9015.88</v>
      </c>
      <c r="AH37" s="33">
        <f t="shared" si="30"/>
        <v>141881.47999999998</v>
      </c>
      <c r="AI37" s="33">
        <f t="shared" si="31"/>
        <v>5338.349999999999</v>
      </c>
      <c r="AJ37" s="33">
        <f t="shared" si="32"/>
        <v>9292.683333333323</v>
      </c>
      <c r="AK37" s="33">
        <f t="shared" si="33"/>
        <v>1542.19</v>
      </c>
      <c r="AM37" s="33">
        <f t="shared" si="10"/>
        <v>129824.0586111111</v>
      </c>
      <c r="AN37" s="33">
        <f t="shared" si="11"/>
        <v>138203.94999999998</v>
      </c>
      <c r="AO37" s="33">
        <f t="shared" si="12"/>
        <v>153507.22</v>
      </c>
      <c r="AP37" s="33">
        <f t="shared" si="13"/>
        <v>153981.74000000002</v>
      </c>
      <c r="AQ37" s="33">
        <f t="shared" si="14"/>
        <v>116376.02999999998</v>
      </c>
      <c r="AR37" s="33">
        <f t="shared" si="15"/>
        <v>144847.22999999998</v>
      </c>
      <c r="AS37" s="33">
        <f t="shared" si="16"/>
        <v>141288.33000000002</v>
      </c>
      <c r="AT37" s="33">
        <f t="shared" si="17"/>
        <v>141881.47999999998</v>
      </c>
      <c r="AU37" s="33">
        <f t="shared" si="18"/>
        <v>114715.21</v>
      </c>
      <c r="AV37" s="33">
        <f t="shared" si="19"/>
        <v>103129.01333333332</v>
      </c>
      <c r="AW37" s="33">
        <f t="shared" si="19"/>
        <v>75092.79000000001</v>
      </c>
      <c r="AX37" s="33"/>
      <c r="AY37" s="33">
        <f t="shared" si="34"/>
        <v>8379.891388888878</v>
      </c>
      <c r="AZ37" s="33">
        <f t="shared" si="42"/>
        <v>23683.161388888897</v>
      </c>
      <c r="BA37" s="33">
        <f t="shared" si="43"/>
        <v>24157.681388888916</v>
      </c>
      <c r="BB37" s="33">
        <f t="shared" si="44"/>
        <v>-13448.02861111112</v>
      </c>
      <c r="BC37" s="33">
        <f t="shared" si="45"/>
        <v>15023.171388888877</v>
      </c>
      <c r="BD37" s="33">
        <f t="shared" si="46"/>
        <v>11464.271388888912</v>
      </c>
      <c r="BE37" s="33">
        <f t="shared" si="47"/>
        <v>12057.421388888877</v>
      </c>
      <c r="BF37" s="33">
        <f t="shared" si="48"/>
        <v>-15108.848611111098</v>
      </c>
      <c r="BG37" s="33">
        <f t="shared" si="49"/>
        <v>-26695.045277777783</v>
      </c>
      <c r="BH37" s="33">
        <f t="shared" si="49"/>
        <v>-54731.268611111096</v>
      </c>
      <c r="BI37" s="33"/>
      <c r="BJ37" s="33"/>
    </row>
    <row r="38" spans="1:62" ht="12.75">
      <c r="A38" s="32">
        <v>118.63</v>
      </c>
      <c r="B38" s="22">
        <v>31320</v>
      </c>
      <c r="C38" s="27">
        <f>Numbers!B93</f>
        <v>1042.8181818181818</v>
      </c>
      <c r="D38" s="27">
        <f>Numbers!O93</f>
        <v>1115</v>
      </c>
      <c r="E38" s="27">
        <f>Numbers!N93</f>
        <v>1287</v>
      </c>
      <c r="F38" s="27">
        <f>Numbers!M93</f>
        <v>1264</v>
      </c>
      <c r="G38" s="27">
        <f>Numbers!L93</f>
        <v>948</v>
      </c>
      <c r="H38" s="27">
        <f>Numbers!K93</f>
        <v>1184</v>
      </c>
      <c r="I38" s="27">
        <f>Numbers!J93</f>
        <v>1115</v>
      </c>
      <c r="J38" s="27">
        <f>Numbers!I93</f>
        <v>0</v>
      </c>
      <c r="K38" s="27">
        <f>Numbers!H93</f>
        <v>922</v>
      </c>
      <c r="L38" s="27">
        <f>Numbers!G93</f>
        <v>791</v>
      </c>
      <c r="M38" s="27">
        <f>Numbers!F93</f>
        <v>620</v>
      </c>
      <c r="O38" s="27">
        <f t="shared" si="22"/>
        <v>-627.909090909091</v>
      </c>
      <c r="P38" s="27">
        <f t="shared" si="0"/>
        <v>164</v>
      </c>
      <c r="Q38" s="27">
        <f t="shared" si="1"/>
        <v>207</v>
      </c>
      <c r="R38" s="27">
        <f t="shared" si="2"/>
        <v>34</v>
      </c>
      <c r="S38" s="27">
        <f t="shared" si="3"/>
        <v>278</v>
      </c>
      <c r="T38" s="27">
        <f t="shared" si="4"/>
        <v>37</v>
      </c>
      <c r="U38" s="27">
        <f t="shared" si="5"/>
        <v>77</v>
      </c>
      <c r="V38" s="27">
        <f t="shared" si="6"/>
        <v>0</v>
      </c>
      <c r="W38" s="27">
        <f t="shared" si="7"/>
        <v>59</v>
      </c>
      <c r="X38" s="27">
        <f t="shared" si="8"/>
        <v>0</v>
      </c>
      <c r="Y38" s="27">
        <f t="shared" si="8"/>
        <v>42</v>
      </c>
      <c r="AA38" s="33">
        <f t="shared" si="23"/>
        <v>-74488.85545454547</v>
      </c>
      <c r="AB38" s="33">
        <f t="shared" si="24"/>
        <v>19455.32</v>
      </c>
      <c r="AC38" s="33">
        <f t="shared" si="25"/>
        <v>24556.41</v>
      </c>
      <c r="AD38" s="33">
        <f t="shared" si="26"/>
        <v>4033.42</v>
      </c>
      <c r="AE38" s="33">
        <f t="shared" si="27"/>
        <v>32979.14</v>
      </c>
      <c r="AF38" s="33">
        <f t="shared" si="28"/>
        <v>4389.3099999999995</v>
      </c>
      <c r="AG38" s="33">
        <f t="shared" si="29"/>
        <v>9134.51</v>
      </c>
      <c r="AH38" s="33">
        <f t="shared" si="30"/>
        <v>0</v>
      </c>
      <c r="AI38" s="33">
        <f t="shared" si="31"/>
        <v>6999.17</v>
      </c>
      <c r="AJ38" s="33">
        <f t="shared" si="32"/>
        <v>0</v>
      </c>
      <c r="AK38" s="33">
        <f t="shared" si="33"/>
        <v>4982.46</v>
      </c>
      <c r="AM38" s="33">
        <f t="shared" si="10"/>
        <v>123709.5209090909</v>
      </c>
      <c r="AN38" s="33">
        <f t="shared" si="11"/>
        <v>132272.44999999998</v>
      </c>
      <c r="AO38" s="33">
        <f t="shared" si="12"/>
        <v>152676.81</v>
      </c>
      <c r="AP38" s="33">
        <f t="shared" si="13"/>
        <v>149948.32</v>
      </c>
      <c r="AQ38" s="33">
        <f t="shared" si="14"/>
        <v>112461.23999999999</v>
      </c>
      <c r="AR38" s="33">
        <f t="shared" si="15"/>
        <v>140457.91999999998</v>
      </c>
      <c r="AS38" s="33">
        <f t="shared" si="16"/>
        <v>132272.45</v>
      </c>
      <c r="AT38" s="33">
        <f t="shared" si="17"/>
        <v>0</v>
      </c>
      <c r="AU38" s="33">
        <f t="shared" si="18"/>
        <v>109376.86</v>
      </c>
      <c r="AV38" s="33">
        <f t="shared" si="19"/>
        <v>93836.33</v>
      </c>
      <c r="AW38" s="33">
        <f t="shared" si="19"/>
        <v>73550.6</v>
      </c>
      <c r="AX38" s="33"/>
      <c r="AY38" s="33">
        <f t="shared" si="34"/>
        <v>8562.929090909078</v>
      </c>
      <c r="AZ38" s="33">
        <f t="shared" si="42"/>
        <v>28967.289090909093</v>
      </c>
      <c r="BA38" s="33">
        <f t="shared" si="43"/>
        <v>26238.799090909102</v>
      </c>
      <c r="BB38" s="33">
        <f t="shared" si="44"/>
        <v>-11248.280909090914</v>
      </c>
      <c r="BC38" s="33">
        <f t="shared" si="45"/>
        <v>16748.39909090908</v>
      </c>
      <c r="BD38" s="33">
        <f t="shared" si="46"/>
        <v>8562.929090909107</v>
      </c>
      <c r="BE38" s="33">
        <f t="shared" si="47"/>
        <v>-123709.5209090909</v>
      </c>
      <c r="BF38" s="33">
        <f t="shared" si="48"/>
        <v>-14332.660909090904</v>
      </c>
      <c r="BG38" s="33">
        <f t="shared" si="49"/>
        <v>-29873.190909090903</v>
      </c>
      <c r="BH38" s="33">
        <f t="shared" si="49"/>
        <v>-50158.9209090909</v>
      </c>
      <c r="BI38" s="33"/>
      <c r="BJ38" s="33"/>
    </row>
    <row r="39" spans="1:62" ht="12.75">
      <c r="A39" s="32">
        <v>118.63</v>
      </c>
      <c r="B39" s="22">
        <v>31290</v>
      </c>
      <c r="C39" s="27">
        <f>Numbers!B45</f>
        <v>1670.7272727272727</v>
      </c>
      <c r="D39" s="27">
        <f>Numbers!O94</f>
        <v>951</v>
      </c>
      <c r="E39" s="27">
        <f>Numbers!N94</f>
        <v>1080</v>
      </c>
      <c r="F39" s="27">
        <f>Numbers!M94</f>
        <v>1230</v>
      </c>
      <c r="G39" s="27">
        <f>Numbers!L94</f>
        <v>670</v>
      </c>
      <c r="H39" s="27">
        <f>Numbers!K94</f>
        <v>1147</v>
      </c>
      <c r="I39" s="27">
        <f>Numbers!J94</f>
        <v>1038</v>
      </c>
      <c r="J39" s="27">
        <f>Numbers!I94</f>
        <v>0</v>
      </c>
      <c r="K39" s="27">
        <f>Numbers!H94</f>
        <v>863</v>
      </c>
      <c r="L39" s="27">
        <f>Numbers!G94</f>
        <v>791</v>
      </c>
      <c r="M39" s="27">
        <f>Numbers!F94</f>
        <v>578</v>
      </c>
      <c r="O39" s="27">
        <f t="shared" si="22"/>
        <v>1670.7272727272727</v>
      </c>
      <c r="P39" s="27">
        <f t="shared" si="0"/>
        <v>951</v>
      </c>
      <c r="Q39" s="27">
        <f t="shared" si="1"/>
        <v>1080</v>
      </c>
      <c r="R39" s="27">
        <f t="shared" si="2"/>
        <v>1230</v>
      </c>
      <c r="S39" s="27">
        <f t="shared" si="3"/>
        <v>670</v>
      </c>
      <c r="T39" s="27">
        <f t="shared" si="4"/>
        <v>1147</v>
      </c>
      <c r="U39" s="27">
        <f t="shared" si="5"/>
        <v>1038</v>
      </c>
      <c r="V39" s="27">
        <f t="shared" si="6"/>
        <v>0</v>
      </c>
      <c r="W39" s="27">
        <f t="shared" si="7"/>
        <v>863</v>
      </c>
      <c r="X39" s="27">
        <f t="shared" si="8"/>
        <v>791</v>
      </c>
      <c r="Y39" s="27">
        <f t="shared" si="8"/>
        <v>578</v>
      </c>
      <c r="AA39" s="33">
        <f t="shared" si="23"/>
        <v>198198.37636363637</v>
      </c>
      <c r="AB39" s="33">
        <f t="shared" si="24"/>
        <v>112817.12999999999</v>
      </c>
      <c r="AC39" s="33">
        <f t="shared" si="25"/>
        <v>128120.4</v>
      </c>
      <c r="AD39" s="33">
        <f t="shared" si="26"/>
        <v>145914.9</v>
      </c>
      <c r="AE39" s="33">
        <f t="shared" si="27"/>
        <v>79482.09999999999</v>
      </c>
      <c r="AF39" s="33">
        <f t="shared" si="28"/>
        <v>136068.61</v>
      </c>
      <c r="AG39" s="33">
        <f t="shared" si="29"/>
        <v>123137.94</v>
      </c>
      <c r="AH39" s="33">
        <f t="shared" si="30"/>
        <v>0</v>
      </c>
      <c r="AI39" s="33">
        <f t="shared" si="31"/>
        <v>102377.69</v>
      </c>
      <c r="AJ39" s="33">
        <f t="shared" si="32"/>
        <v>93836.33</v>
      </c>
      <c r="AK39" s="33">
        <f t="shared" si="33"/>
        <v>68568.14</v>
      </c>
      <c r="AM39" s="33">
        <f>AM40+AA39</f>
        <v>198198.37636363637</v>
      </c>
      <c r="AN39" s="33">
        <f t="shared" si="11"/>
        <v>112817.12999999999</v>
      </c>
      <c r="AO39" s="33">
        <f t="shared" si="12"/>
        <v>128120.4</v>
      </c>
      <c r="AP39" s="33">
        <f t="shared" si="13"/>
        <v>145914.9</v>
      </c>
      <c r="AQ39" s="33">
        <f t="shared" si="14"/>
        <v>79482.09999999999</v>
      </c>
      <c r="AR39" s="33">
        <f t="shared" si="15"/>
        <v>136068.61</v>
      </c>
      <c r="AS39" s="33">
        <f t="shared" si="16"/>
        <v>123137.94</v>
      </c>
      <c r="AT39" s="33">
        <f t="shared" si="17"/>
        <v>0</v>
      </c>
      <c r="AU39" s="33">
        <f t="shared" si="18"/>
        <v>102377.69</v>
      </c>
      <c r="AV39" s="33">
        <f t="shared" si="19"/>
        <v>93836.33</v>
      </c>
      <c r="AW39" s="33">
        <f t="shared" si="19"/>
        <v>68568.14</v>
      </c>
      <c r="AX39" s="33"/>
      <c r="AY39" s="33">
        <f t="shared" si="34"/>
        <v>-85381.24636363638</v>
      </c>
      <c r="AZ39" s="33">
        <f t="shared" si="42"/>
        <v>-70077.97636363638</v>
      </c>
      <c r="BA39" s="33">
        <f t="shared" si="43"/>
        <v>-52283.47636363638</v>
      </c>
      <c r="BB39" s="33">
        <f t="shared" si="44"/>
        <v>-118716.27636363638</v>
      </c>
      <c r="BC39" s="33">
        <f t="shared" si="45"/>
        <v>-62129.76636363639</v>
      </c>
      <c r="BD39" s="33">
        <f t="shared" si="46"/>
        <v>-75060.43636363637</v>
      </c>
      <c r="BE39" s="33">
        <f t="shared" si="47"/>
        <v>-198198.37636363637</v>
      </c>
      <c r="BF39" s="33">
        <f t="shared" si="48"/>
        <v>-95820.68636363637</v>
      </c>
      <c r="BG39" s="33">
        <f t="shared" si="49"/>
        <v>-104362.04636363637</v>
      </c>
      <c r="BH39" s="33">
        <f t="shared" si="49"/>
        <v>-129630.23636363637</v>
      </c>
      <c r="BI39" s="33"/>
      <c r="BJ39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Olson</cp:lastModifiedBy>
  <cp:lastPrinted>2004-06-10T18:27:16Z</cp:lastPrinted>
  <dcterms:created xsi:type="dcterms:W3CDTF">2001-10-23T01:16:07Z</dcterms:created>
  <dcterms:modified xsi:type="dcterms:W3CDTF">2004-11-30T14:08:03Z</dcterms:modified>
  <cp:category/>
  <cp:version/>
  <cp:contentType/>
  <cp:contentStatus/>
</cp:coreProperties>
</file>